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20" windowWidth="20955" windowHeight="9975" tabRatio="696" activeTab="13"/>
  </bookViews>
  <sheets>
    <sheet name="Продажи" sheetId="4" r:id="rId1"/>
    <sheet name="Поступл" sheetId="1" r:id="rId2"/>
    <sheet name="ГП" sheetId="2" r:id="rId3"/>
    <sheet name="Мат затраты" sheetId="3" r:id="rId4"/>
    <sheet name="Оплата мат" sheetId="5" r:id="rId5"/>
    <sheet name="ЗП прям" sheetId="6" r:id="rId6"/>
    <sheet name="Накл" sheetId="7" r:id="rId7"/>
    <sheet name="Уд сс" sheetId="8" r:id="rId8"/>
    <sheet name="Пр запас" sheetId="9" r:id="rId9"/>
    <sheet name="Ком расх" sheetId="10" r:id="rId10"/>
    <sheet name="Адм" sheetId="11" r:id="rId11"/>
    <sheet name="БДР" sheetId="12" r:id="rId12"/>
    <sheet name="БДДС" sheetId="13" r:id="rId13"/>
    <sheet name="Баланс" sheetId="14" r:id="rId14"/>
  </sheets>
  <calcPr calcId="145621"/>
</workbook>
</file>

<file path=xl/calcChain.xml><?xml version="1.0" encoding="utf-8"?>
<calcChain xmlns="http://schemas.openxmlformats.org/spreadsheetml/2006/main">
  <c r="E13" i="5" l="1"/>
  <c r="C21" i="14"/>
  <c r="C17" i="14"/>
  <c r="C16" i="14"/>
  <c r="C11" i="14"/>
  <c r="B14" i="2"/>
  <c r="B12" i="2"/>
  <c r="B9" i="3"/>
  <c r="C16" i="1"/>
  <c r="C7" i="14"/>
  <c r="E29" i="13"/>
  <c r="D29" i="13"/>
  <c r="C29" i="13"/>
  <c r="B29" i="13"/>
  <c r="C12" i="1"/>
  <c r="C13" i="1" s="1"/>
  <c r="C18" i="12"/>
  <c r="F16" i="12"/>
  <c r="C14" i="12"/>
  <c r="C13" i="11"/>
  <c r="F12" i="10"/>
  <c r="F11" i="10"/>
  <c r="C11" i="10"/>
  <c r="C12" i="10" s="1"/>
  <c r="D11" i="10"/>
  <c r="E11" i="10"/>
  <c r="E12" i="10" s="1"/>
  <c r="D12" i="10"/>
  <c r="B12" i="10"/>
  <c r="B11" i="10"/>
  <c r="C25" i="12"/>
  <c r="C26" i="12" s="1"/>
  <c r="C7" i="12" s="1"/>
  <c r="D25" i="12"/>
  <c r="C24" i="12"/>
  <c r="D24" i="12"/>
  <c r="C23" i="12"/>
  <c r="B13" i="11"/>
  <c r="B7" i="10"/>
  <c r="B10" i="9"/>
  <c r="C7" i="9"/>
  <c r="B7" i="9"/>
  <c r="D7" i="7"/>
  <c r="C7" i="7"/>
  <c r="C10" i="6"/>
  <c r="C7" i="6"/>
  <c r="D7" i="6"/>
  <c r="F14" i="11"/>
  <c r="C10" i="3"/>
  <c r="D7" i="3"/>
  <c r="C7" i="3"/>
  <c r="D8" i="2"/>
  <c r="C8" i="2"/>
  <c r="G10" i="1"/>
  <c r="D12" i="1"/>
  <c r="D9" i="1"/>
  <c r="D8" i="1"/>
  <c r="C15" i="1"/>
  <c r="C8" i="1"/>
  <c r="F6" i="4"/>
  <c r="E6" i="4"/>
  <c r="D6" i="4"/>
  <c r="C6" i="4"/>
  <c r="B6" i="4"/>
  <c r="C15" i="14" l="1"/>
  <c r="C13" i="14"/>
  <c r="F15" i="11"/>
  <c r="D15" i="11"/>
  <c r="C15" i="11"/>
  <c r="B15" i="11"/>
  <c r="D13" i="11"/>
  <c r="E13" i="11"/>
  <c r="D7" i="8"/>
  <c r="D16" i="1"/>
  <c r="E16" i="1"/>
  <c r="F16" i="1"/>
  <c r="G9" i="1"/>
  <c r="G8" i="1"/>
  <c r="C29" i="14" l="1"/>
  <c r="C14" i="14"/>
  <c r="D28" i="13"/>
  <c r="C24" i="13"/>
  <c r="D24" i="13"/>
  <c r="E24" i="13"/>
  <c r="B24" i="13"/>
  <c r="C15" i="13"/>
  <c r="D15" i="13"/>
  <c r="E15" i="11"/>
  <c r="E15" i="13" s="1"/>
  <c r="B15" i="13"/>
  <c r="E16" i="12"/>
  <c r="E28" i="13" s="1"/>
  <c r="D16" i="12"/>
  <c r="C13" i="12"/>
  <c r="D13" i="12"/>
  <c r="E13" i="12"/>
  <c r="B13" i="12"/>
  <c r="C12" i="12"/>
  <c r="B12" i="12"/>
  <c r="C11" i="12"/>
  <c r="D11" i="12"/>
  <c r="E11" i="12"/>
  <c r="B11" i="12"/>
  <c r="F11" i="12" s="1"/>
  <c r="B8" i="12"/>
  <c r="C6" i="12"/>
  <c r="D6" i="12"/>
  <c r="E6" i="12"/>
  <c r="B6" i="12"/>
  <c r="F9" i="12"/>
  <c r="F15" i="12"/>
  <c r="C5" i="12"/>
  <c r="D5" i="12"/>
  <c r="E5" i="12"/>
  <c r="B5" i="12"/>
  <c r="F5" i="12" s="1"/>
  <c r="F13" i="11"/>
  <c r="B7" i="11"/>
  <c r="F7" i="11" s="1"/>
  <c r="F8" i="11"/>
  <c r="F9" i="11"/>
  <c r="F10" i="11"/>
  <c r="F11" i="11"/>
  <c r="F12" i="11"/>
  <c r="F5" i="11"/>
  <c r="F6" i="11"/>
  <c r="D6" i="11"/>
  <c r="E6" i="11" s="1"/>
  <c r="C6" i="11"/>
  <c r="F13" i="12" l="1"/>
  <c r="B7" i="13"/>
  <c r="B9" i="13" s="1"/>
  <c r="F6" i="12"/>
  <c r="B14" i="13"/>
  <c r="D10" i="10"/>
  <c r="E10" i="10" s="1"/>
  <c r="C10" i="10"/>
  <c r="D9" i="10"/>
  <c r="C9" i="10"/>
  <c r="C5" i="10"/>
  <c r="C7" i="10" s="1"/>
  <c r="D5" i="10"/>
  <c r="D7" i="10" s="1"/>
  <c r="E5" i="10"/>
  <c r="E7" i="10" s="1"/>
  <c r="B5" i="10"/>
  <c r="E9" i="10" l="1"/>
  <c r="D12" i="12"/>
  <c r="F10" i="10"/>
  <c r="E8" i="12"/>
  <c r="E14" i="13"/>
  <c r="C8" i="12"/>
  <c r="C10" i="12" s="1"/>
  <c r="F7" i="10"/>
  <c r="D8" i="12"/>
  <c r="D14" i="13"/>
  <c r="F5" i="10"/>
  <c r="C9" i="9"/>
  <c r="D9" i="9"/>
  <c r="E9" i="9"/>
  <c r="B9" i="9"/>
  <c r="B6" i="9"/>
  <c r="D6" i="8"/>
  <c r="D5" i="8"/>
  <c r="C5" i="8"/>
  <c r="B5" i="8"/>
  <c r="D4" i="8"/>
  <c r="C4" i="8"/>
  <c r="B4" i="8"/>
  <c r="F8" i="7"/>
  <c r="F10" i="7"/>
  <c r="E12" i="12" l="1"/>
  <c r="F12" i="12" s="1"/>
  <c r="F9" i="10"/>
  <c r="C6" i="9"/>
  <c r="F8" i="12"/>
  <c r="C6" i="2"/>
  <c r="D6" i="2"/>
  <c r="B6" i="2"/>
  <c r="F15" i="1"/>
  <c r="D14" i="1"/>
  <c r="E14" i="1"/>
  <c r="F14" i="1"/>
  <c r="C14" i="1"/>
  <c r="F11" i="1"/>
  <c r="E15" i="1"/>
  <c r="F10" i="1"/>
  <c r="F12" i="1" s="1"/>
  <c r="E7" i="13" s="1"/>
  <c r="E9" i="13" s="1"/>
  <c r="E10" i="1"/>
  <c r="D15" i="1"/>
  <c r="G15" i="1" s="1"/>
  <c r="E9" i="1"/>
  <c r="E12" i="1" s="1"/>
  <c r="D7" i="13" s="1"/>
  <c r="D9" i="13" s="1"/>
  <c r="G11" i="1"/>
  <c r="G6" i="1"/>
  <c r="F4" i="4"/>
  <c r="B8" i="2" l="1"/>
  <c r="B5" i="9"/>
  <c r="C7" i="2"/>
  <c r="C5" i="9"/>
  <c r="E5" i="9"/>
  <c r="E7" i="9" s="1"/>
  <c r="D7" i="2"/>
  <c r="D5" i="9"/>
  <c r="D7" i="9" s="1"/>
  <c r="E7" i="2"/>
  <c r="E8" i="2" s="1"/>
  <c r="C7" i="13"/>
  <c r="C9" i="13" s="1"/>
  <c r="G12" i="1"/>
  <c r="D6" i="9"/>
  <c r="C14" i="13"/>
  <c r="D5" i="1"/>
  <c r="D13" i="1" s="1"/>
  <c r="F8" i="2" l="1"/>
  <c r="E5" i="3"/>
  <c r="E5" i="6"/>
  <c r="E7" i="6" s="1"/>
  <c r="C5" i="6"/>
  <c r="C5" i="3"/>
  <c r="B8" i="3" s="1"/>
  <c r="D5" i="6"/>
  <c r="D5" i="3"/>
  <c r="C8" i="3" s="1"/>
  <c r="B5" i="6"/>
  <c r="B7" i="6" s="1"/>
  <c r="B9" i="6" s="1"/>
  <c r="B24" i="12" s="1"/>
  <c r="B5" i="3"/>
  <c r="B7" i="3" s="1"/>
  <c r="B10" i="3" s="1"/>
  <c r="B12" i="3" s="1"/>
  <c r="B23" i="12" s="1"/>
  <c r="E6" i="9"/>
  <c r="C10" i="14" s="1"/>
  <c r="C17" i="12"/>
  <c r="E5" i="1"/>
  <c r="E13" i="1" s="1"/>
  <c r="F7" i="6" l="1"/>
  <c r="E7" i="3"/>
  <c r="F7" i="3" s="1"/>
  <c r="C19" i="12"/>
  <c r="F5" i="3"/>
  <c r="D9" i="6"/>
  <c r="D10" i="6" s="1"/>
  <c r="D12" i="13" s="1"/>
  <c r="D5" i="7"/>
  <c r="D9" i="7" s="1"/>
  <c r="F5" i="6"/>
  <c r="C9" i="3"/>
  <c r="B8" i="9"/>
  <c r="C9" i="6"/>
  <c r="C12" i="13" s="1"/>
  <c r="C5" i="7"/>
  <c r="C9" i="7" s="1"/>
  <c r="C8" i="9"/>
  <c r="C10" i="9" s="1"/>
  <c r="C12" i="3"/>
  <c r="C6" i="5" s="1"/>
  <c r="C9" i="5" s="1"/>
  <c r="D9" i="5" s="1"/>
  <c r="D9" i="3"/>
  <c r="E9" i="6"/>
  <c r="E5" i="7"/>
  <c r="F5" i="1"/>
  <c r="F13" i="1" s="1"/>
  <c r="E7" i="7" l="1"/>
  <c r="E25" i="12" s="1"/>
  <c r="E10" i="6"/>
  <c r="E12" i="13" s="1"/>
  <c r="E24" i="12"/>
  <c r="F24" i="12" s="1"/>
  <c r="D8" i="3"/>
  <c r="D12" i="7"/>
  <c r="D13" i="13" s="1"/>
  <c r="D11" i="7"/>
  <c r="C12" i="7"/>
  <c r="C13" i="13" s="1"/>
  <c r="C11" i="7"/>
  <c r="F9" i="5"/>
  <c r="E8" i="9"/>
  <c r="B5" i="7"/>
  <c r="B7" i="7" s="1"/>
  <c r="D10" i="3"/>
  <c r="D12" i="3" s="1"/>
  <c r="F25" i="12" l="1"/>
  <c r="B25" i="12"/>
  <c r="B26" i="12" s="1"/>
  <c r="B7" i="12" s="1"/>
  <c r="B10" i="12" s="1"/>
  <c r="B14" i="12" s="1"/>
  <c r="B17" i="12" s="1"/>
  <c r="B9" i="7"/>
  <c r="B11" i="7" s="1"/>
  <c r="D6" i="5"/>
  <c r="D10" i="5" s="1"/>
  <c r="D12" i="5" s="1"/>
  <c r="D11" i="13" s="1"/>
  <c r="D17" i="13" s="1"/>
  <c r="D18" i="13" s="1"/>
  <c r="D23" i="12"/>
  <c r="E9" i="3"/>
  <c r="E10" i="3" s="1"/>
  <c r="E12" i="3" s="1"/>
  <c r="D8" i="9"/>
  <c r="D10" i="9" s="1"/>
  <c r="E9" i="7"/>
  <c r="F5" i="7"/>
  <c r="B6" i="5"/>
  <c r="F12" i="3"/>
  <c r="B10" i="6"/>
  <c r="F9" i="6"/>
  <c r="E10" i="9"/>
  <c r="C9" i="14" s="1"/>
  <c r="C8" i="14" s="1"/>
  <c r="F10" i="3"/>
  <c r="B18" i="12" l="1"/>
  <c r="B19" i="12" s="1"/>
  <c r="E6" i="5"/>
  <c r="E11" i="5" s="1"/>
  <c r="F11" i="5" s="1"/>
  <c r="E23" i="12"/>
  <c r="E26" i="12" s="1"/>
  <c r="E7" i="12" s="1"/>
  <c r="E10" i="12" s="1"/>
  <c r="E14" i="12" s="1"/>
  <c r="E17" i="12" s="1"/>
  <c r="E10" i="5"/>
  <c r="F10" i="5" s="1"/>
  <c r="D26" i="12"/>
  <c r="D7" i="12" s="1"/>
  <c r="D10" i="12" s="1"/>
  <c r="F23" i="12"/>
  <c r="F26" i="12" s="1"/>
  <c r="F7" i="12" s="1"/>
  <c r="E11" i="7"/>
  <c r="E12" i="7"/>
  <c r="E13" i="13" s="1"/>
  <c r="F10" i="6"/>
  <c r="B12" i="13"/>
  <c r="F7" i="7"/>
  <c r="B8" i="5"/>
  <c r="F6" i="5"/>
  <c r="E12" i="5"/>
  <c r="E11" i="13" s="1"/>
  <c r="D14" i="12" l="1"/>
  <c r="F10" i="12"/>
  <c r="E18" i="12"/>
  <c r="E19" i="12" s="1"/>
  <c r="E17" i="13"/>
  <c r="E18" i="13" s="1"/>
  <c r="F11" i="7"/>
  <c r="B12" i="7"/>
  <c r="F9" i="7"/>
  <c r="B12" i="5"/>
  <c r="C8" i="5"/>
  <c r="F8" i="5" s="1"/>
  <c r="D17" i="12" l="1"/>
  <c r="F14" i="12"/>
  <c r="B13" i="5"/>
  <c r="C5" i="5" s="1"/>
  <c r="B11" i="13"/>
  <c r="C12" i="5"/>
  <c r="F12" i="5" s="1"/>
  <c r="F12" i="7"/>
  <c r="B13" i="13"/>
  <c r="B17" i="13" l="1"/>
  <c r="B18" i="13" s="1"/>
  <c r="B30" i="13" s="1"/>
  <c r="C5" i="13" s="1"/>
  <c r="D18" i="12"/>
  <c r="F18" i="12" s="1"/>
  <c r="F17" i="12"/>
  <c r="D19" i="12"/>
  <c r="F19" i="12" s="1"/>
  <c r="C30" i="14" s="1"/>
  <c r="C31" i="14" s="1"/>
  <c r="C13" i="5"/>
  <c r="D5" i="5" s="1"/>
  <c r="D13" i="5" s="1"/>
  <c r="C11" i="13"/>
  <c r="C17" i="13" s="1"/>
  <c r="C18" i="13" s="1"/>
  <c r="C30" i="13" l="1"/>
  <c r="D5" i="13" s="1"/>
  <c r="D30" i="13" s="1"/>
  <c r="E5" i="13" s="1"/>
  <c r="E30" i="13" s="1"/>
  <c r="C6" i="14" s="1"/>
  <c r="E5" i="5"/>
  <c r="C23" i="14" l="1"/>
  <c r="C32" i="14" s="1"/>
</calcChain>
</file>

<file path=xl/sharedStrings.xml><?xml version="1.0" encoding="utf-8"?>
<sst xmlns="http://schemas.openxmlformats.org/spreadsheetml/2006/main" count="217" uniqueCount="183">
  <si>
    <t>1. Остаток дебиторской задолженности на начало периода</t>
  </si>
  <si>
    <t>2. Погашение задолженности прошлого года</t>
  </si>
  <si>
    <t>4. От продаж 2-го квартала</t>
  </si>
  <si>
    <t>5. От продаж 3-го квартала</t>
  </si>
  <si>
    <t>6. От продаж 4-го квартала</t>
  </si>
  <si>
    <t>7. Итого денежных поступлений</t>
  </si>
  <si>
    <t>8. Остаток дебиторской задолженности на конец</t>
  </si>
  <si>
    <t>Период (квартал)</t>
  </si>
  <si>
    <t>Всего</t>
  </si>
  <si>
    <t>Запланированные продажи  (ед.)</t>
  </si>
  <si>
    <t>Цена за единицу</t>
  </si>
  <si>
    <t>Запланированные продажи (руб.)</t>
  </si>
  <si>
    <t>Бюджет продаж</t>
  </si>
  <si>
    <t>График поступления денежных средств</t>
  </si>
  <si>
    <t>Наименование</t>
  </si>
  <si>
    <t>Бюджетный период</t>
  </si>
  <si>
    <t>Итого</t>
  </si>
  <si>
    <t>Безнадежные долги (2%)</t>
  </si>
  <si>
    <t xml:space="preserve">3. От продаж 1-го квартала </t>
  </si>
  <si>
    <t>Поступление от продаж каждого периода (д.е.) (70-28%)</t>
  </si>
  <si>
    <t>Продажи</t>
  </si>
  <si>
    <t>1. Запланированные продажи (ед.)</t>
  </si>
  <si>
    <t>2. Желаемый запас ГП на конец периода (ед.)</t>
  </si>
  <si>
    <t>3. Запланированный запас ГП на начало (ед.)</t>
  </si>
  <si>
    <t>4. Количество единиц ГП, подлежащих изготовлению (ед.)</t>
  </si>
  <si>
    <t>Бюджет готовой продукции</t>
  </si>
  <si>
    <t>1. План выпуска продукции (ед.)</t>
  </si>
  <si>
    <t>2. Потребность на единицу (кг.)</t>
  </si>
  <si>
    <t>3. Потребность в основных материалах всего (кг.)</t>
  </si>
  <si>
    <t>4. Запас материалов на конец</t>
  </si>
  <si>
    <t>5. Запас материалов на начало</t>
  </si>
  <si>
    <t>6. Всего требуется купить (кг.)</t>
  </si>
  <si>
    <t>7. Стоимость единицы материала (руб.)</t>
  </si>
  <si>
    <t>8. Стоимость закупок материала</t>
  </si>
  <si>
    <t>Бюджет прямых материальных затрат</t>
  </si>
  <si>
    <t>1. Остаток кредиторской задолженности на начало</t>
  </si>
  <si>
    <t>2.Кредиторская задолженность за период</t>
  </si>
  <si>
    <t>Выплаты по закупкам периода</t>
  </si>
  <si>
    <t>3. По закупкам 1-го квартала</t>
  </si>
  <si>
    <t>4. По закупкам 2-го квартала</t>
  </si>
  <si>
    <t>5. По закупкам 3-го квартала</t>
  </si>
  <si>
    <t>6. По закупкам 4-го квартала</t>
  </si>
  <si>
    <t>7. Итого денежных выплат</t>
  </si>
  <si>
    <t>8. Кредиторская задолженность на конец периода</t>
  </si>
  <si>
    <t>График оплаты сырья и материалов</t>
  </si>
  <si>
    <t>2. Прямые затраты труда на изделие в часах./ед.</t>
  </si>
  <si>
    <t>3. Прямые затраты труда всего в часах</t>
  </si>
  <si>
    <t>4. Почасовая тарифная ставка</t>
  </si>
  <si>
    <t>5. Прямые затраты труда</t>
  </si>
  <si>
    <t>6. Денежные выплаты</t>
  </si>
  <si>
    <t>Бюджет затрат на прямой труд</t>
  </si>
  <si>
    <t>1. Запланированные прямые затраты труда в часах</t>
  </si>
  <si>
    <t>2. Ставка переменных накладных расходов</t>
  </si>
  <si>
    <t>3. Переменные накладные</t>
  </si>
  <si>
    <t>4. Постоянные накладные</t>
  </si>
  <si>
    <t>5. Итого накладных расходов</t>
  </si>
  <si>
    <t>6. Амортизация</t>
  </si>
  <si>
    <t>7. Итого накл. и амортизация</t>
  </si>
  <si>
    <t>8. Всего денежных выплат</t>
  </si>
  <si>
    <t>Бюджет накладных расходов</t>
  </si>
  <si>
    <t>Показатель</t>
  </si>
  <si>
    <t>Стоимость ед. ресурса</t>
  </si>
  <si>
    <t>Кол-во ед. ресурса</t>
  </si>
  <si>
    <t>Основные материалы</t>
  </si>
  <si>
    <t>Основной труд</t>
  </si>
  <si>
    <t>Переменная часть накладных</t>
  </si>
  <si>
    <t>Общие переменные произв. расх.</t>
  </si>
  <si>
    <t xml:space="preserve">Данные по удельной производственной себестоимости                            </t>
  </si>
  <si>
    <t>1. Запас ГП на конец (ед.)</t>
  </si>
  <si>
    <t>2. Произв.с/сть единицы</t>
  </si>
  <si>
    <t>3. Запас ГП на конец (руб.)</t>
  </si>
  <si>
    <t>4. Запас сырья на конец (ед.)</t>
  </si>
  <si>
    <t>5. Стоимость единицы сырья (руб.)</t>
  </si>
  <si>
    <t>6. Запас сырья на конец (руб.)</t>
  </si>
  <si>
    <t>Бюджет производственных запасов</t>
  </si>
  <si>
    <t>1. Запланированные продажи (руб.)</t>
  </si>
  <si>
    <t>2. Ставка переменных. (суммарная)</t>
  </si>
  <si>
    <t>3. Всего переменных комм.</t>
  </si>
  <si>
    <t>4. Постоянные коммерческие расходы.     В том числе:</t>
  </si>
  <si>
    <t>5. Реклама товара</t>
  </si>
  <si>
    <t>6. Оплата торговых агентов</t>
  </si>
  <si>
    <t>7. К выплате</t>
  </si>
  <si>
    <t>Бюджет коммерческих расходов</t>
  </si>
  <si>
    <t>Показатели</t>
  </si>
  <si>
    <t>1. Амортизация</t>
  </si>
  <si>
    <t>2. Аренда</t>
  </si>
  <si>
    <t>3. Страховка</t>
  </si>
  <si>
    <t>4. Зарплата управленцев</t>
  </si>
  <si>
    <t>5. Канцелярские расходы</t>
  </si>
  <si>
    <t>6. Услуги связи</t>
  </si>
  <si>
    <t>7. Командировочные расходы</t>
  </si>
  <si>
    <t>8. Прочие расходы</t>
  </si>
  <si>
    <t>9. Всего управленческих</t>
  </si>
  <si>
    <t>10. К выплате</t>
  </si>
  <si>
    <t>Бюджет административных расходов</t>
  </si>
  <si>
    <t>1. Объем продаж (ед.)</t>
  </si>
  <si>
    <t>2. Выручка</t>
  </si>
  <si>
    <t>3. Производственная себестоимость</t>
  </si>
  <si>
    <t>4. Переменные коммерческие</t>
  </si>
  <si>
    <t>5. Переменные административные</t>
  </si>
  <si>
    <t>6. Маржинальная прибыль</t>
  </si>
  <si>
    <t>7. Произв. накладные постоянные</t>
  </si>
  <si>
    <t>8. Коммерческие постоянные</t>
  </si>
  <si>
    <t>9. Административные постоянные.</t>
  </si>
  <si>
    <t>10. Операционная прибыль</t>
  </si>
  <si>
    <t>11. Проценты к получению</t>
  </si>
  <si>
    <t>12. Проценты к уплате</t>
  </si>
  <si>
    <t>13. Прибыль до налога</t>
  </si>
  <si>
    <t>14. Налог на прибыль (20%)</t>
  </si>
  <si>
    <t>15. Чистая прибыль</t>
  </si>
  <si>
    <t>1. Остаток средств на начало</t>
  </si>
  <si>
    <t>Поступление денежных средств от основной деятельности</t>
  </si>
  <si>
    <t>2. Выручка от реализации</t>
  </si>
  <si>
    <t>3. Авансы полученные</t>
  </si>
  <si>
    <t>4. Итого поступлений</t>
  </si>
  <si>
    <t>Выплаты денежных средств от основной деятельности</t>
  </si>
  <si>
    <t>5. Прямые материалы</t>
  </si>
  <si>
    <t>6. Прямой труд</t>
  </si>
  <si>
    <t>7. Общепроизводственные расходы</t>
  </si>
  <si>
    <t>8. Коммерческие расходы</t>
  </si>
  <si>
    <t>9. Управленческие расходы</t>
  </si>
  <si>
    <t>11. Итого выплат</t>
  </si>
  <si>
    <t>12. ЧДДС от основной деятельности</t>
  </si>
  <si>
    <t>Денежные потоки по инвестиционной деятельности</t>
  </si>
  <si>
    <t>13. Покупка основных средств</t>
  </si>
  <si>
    <t>14. Долгосрочные фин. вложения</t>
  </si>
  <si>
    <t>15. Реализация основных средств</t>
  </si>
  <si>
    <t>16. Реализация финансовых вложений</t>
  </si>
  <si>
    <t>17.ЧДДС от инвестиционной деят-ти</t>
  </si>
  <si>
    <t>Денежные потоки по финансовой деятельности</t>
  </si>
  <si>
    <t>18. Получение кредитов</t>
  </si>
  <si>
    <t>19. Погашение кредитов</t>
  </si>
  <si>
    <t>20.Выплаты процентов за кредит</t>
  </si>
  <si>
    <t>21. ЧДДС по финансовой деятельности</t>
  </si>
  <si>
    <t>22. Остаток средств на конец</t>
  </si>
  <si>
    <t>страхование - можно учесть в периоде оплаты, или распределить на период страхования - зависит от учетной политики</t>
  </si>
  <si>
    <t>10. Налог на прибыль</t>
  </si>
  <si>
    <t>Наименование статьи</t>
  </si>
  <si>
    <t>На начало</t>
  </si>
  <si>
    <t>На конец</t>
  </si>
  <si>
    <t>Актив</t>
  </si>
  <si>
    <t>Текущие активы</t>
  </si>
  <si>
    <t>Денежные средства</t>
  </si>
  <si>
    <t>Дебиторская задолженность</t>
  </si>
  <si>
    <t>Запасы, в том числе:</t>
  </si>
  <si>
    <t xml:space="preserve">     материалы</t>
  </si>
  <si>
    <t xml:space="preserve">     готовая продукция</t>
  </si>
  <si>
    <t>Итого текущих активов</t>
  </si>
  <si>
    <t>Долгосрочные активы</t>
  </si>
  <si>
    <t>Основные средства</t>
  </si>
  <si>
    <t>Земля</t>
  </si>
  <si>
    <t>Накопленная амортизация</t>
  </si>
  <si>
    <t>Итого постоянных активов</t>
  </si>
  <si>
    <t>Итого активов</t>
  </si>
  <si>
    <t>Пассив</t>
  </si>
  <si>
    <t>Текущие пассивы</t>
  </si>
  <si>
    <t>Краткосрочные кредиты и займы</t>
  </si>
  <si>
    <t>–</t>
  </si>
  <si>
    <t>Кредиторская задолженность</t>
  </si>
  <si>
    <t>Задолженность перед бюджетом</t>
  </si>
  <si>
    <t>Итого текущих пассивов</t>
  </si>
  <si>
    <t>Долгосрочная задолженность</t>
  </si>
  <si>
    <t>Долгосрочные кредиты и займы</t>
  </si>
  <si>
    <t>Прочие долгосрочные пассивы</t>
  </si>
  <si>
    <t>Итого долгосрочных пассивов</t>
  </si>
  <si>
    <t>Собственный капитал</t>
  </si>
  <si>
    <t>Акционерный капитал</t>
  </si>
  <si>
    <t>Нераспределенная прибыль</t>
  </si>
  <si>
    <t>Итого собственный капитал</t>
  </si>
  <si>
    <t>Итого пассивов</t>
  </si>
  <si>
    <t>60 000</t>
  </si>
  <si>
    <t>10. Выплата КЗ за прошлые периоды</t>
  </si>
  <si>
    <t>Произв. с/с</t>
  </si>
  <si>
    <t>Основная зарплата</t>
  </si>
  <si>
    <t>6. Всего постоянных коммерческих</t>
  </si>
  <si>
    <t>Переменные накладные</t>
  </si>
  <si>
    <t>Бюджет доходов и расходов (БДР)</t>
  </si>
  <si>
    <t>Бюджет движения денежных средств (БДДС)</t>
  </si>
  <si>
    <t xml:space="preserve">Бюджет Баланса </t>
  </si>
  <si>
    <t>Расчет запаса ГП на начало периода:</t>
  </si>
  <si>
    <t>в руб.</t>
  </si>
  <si>
    <t>уд. с/с 1 продукции</t>
  </si>
  <si>
    <t>Запас на начало 1 периода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</si>
</sst>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_-* #,##0_р_._-;\-* #,##0_р_._-;_-* &quot;-&quot;??_р_._-;_-@_-"/>
  </numFmts>
  <fonts count="14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/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125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165" fontId="1" fillId="0" borderId="2" xfId="1" applyNumberFormat="1" applyFont="1" applyBorder="1" applyAlignment="1">
      <alignment horizontal="center" vertical="center" wrapText="1"/>
    </xf>
    <xf numFmtId="165" fontId="1" fillId="0" borderId="4" xfId="1" applyNumberFormat="1" applyFont="1" applyBorder="1" applyAlignment="1">
      <alignment horizontal="center" vertical="center" wrapText="1"/>
    </xf>
    <xf numFmtId="0" fontId="3" fillId="0" borderId="0" xfId="0" applyFont="1"/>
    <xf numFmtId="0" fontId="4" fillId="0" borderId="0" xfId="0" applyFont="1"/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65" fontId="1" fillId="0" borderId="6" xfId="1" applyNumberFormat="1" applyFont="1" applyBorder="1" applyAlignment="1">
      <alignment horizontal="center" vertical="center" wrapText="1"/>
    </xf>
    <xf numFmtId="3" fontId="1" fillId="0" borderId="4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justify" vertical="center"/>
    </xf>
    <xf numFmtId="0" fontId="6" fillId="0" borderId="2" xfId="0" applyFont="1" applyBorder="1" applyAlignment="1">
      <alignment horizontal="center" vertical="center" wrapText="1"/>
    </xf>
    <xf numFmtId="165" fontId="8" fillId="0" borderId="4" xfId="1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justify" vertical="center" wrapText="1"/>
    </xf>
    <xf numFmtId="0" fontId="6" fillId="0" borderId="0" xfId="0" applyFont="1"/>
    <xf numFmtId="0" fontId="1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9" fontId="1" fillId="0" borderId="2" xfId="2" applyFont="1" applyBorder="1" applyAlignment="1">
      <alignment horizontal="center" vertical="center" wrapText="1"/>
    </xf>
    <xf numFmtId="165" fontId="1" fillId="0" borderId="12" xfId="1" applyNumberFormat="1" applyFont="1" applyBorder="1" applyAlignment="1">
      <alignment horizontal="center" vertical="center" wrapText="1"/>
    </xf>
    <xf numFmtId="165" fontId="1" fillId="0" borderId="15" xfId="1" applyNumberFormat="1" applyFont="1" applyBorder="1" applyAlignment="1">
      <alignment horizontal="center" vertical="center" wrapText="1"/>
    </xf>
    <xf numFmtId="165" fontId="1" fillId="0" borderId="1" xfId="1" applyNumberFormat="1" applyFont="1" applyBorder="1" applyAlignment="1">
      <alignment horizontal="center" vertical="center" wrapText="1"/>
    </xf>
    <xf numFmtId="165" fontId="1" fillId="0" borderId="13" xfId="1" applyNumberFormat="1" applyFont="1" applyBorder="1" applyAlignment="1">
      <alignment vertical="center" wrapText="1"/>
    </xf>
    <xf numFmtId="165" fontId="1" fillId="0" borderId="14" xfId="1" applyNumberFormat="1" applyFont="1" applyBorder="1" applyAlignment="1">
      <alignment vertical="center" wrapText="1"/>
    </xf>
    <xf numFmtId="165" fontId="1" fillId="0" borderId="15" xfId="1" applyNumberFormat="1" applyFont="1" applyBorder="1" applyAlignment="1">
      <alignment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1" fillId="0" borderId="19" xfId="0" applyFont="1" applyBorder="1" applyAlignment="1">
      <alignment vertical="center" wrapText="1"/>
    </xf>
    <xf numFmtId="165" fontId="1" fillId="0" borderId="20" xfId="1" applyNumberFormat="1" applyFont="1" applyBorder="1" applyAlignment="1">
      <alignment horizontal="center" vertical="center" wrapText="1"/>
    </xf>
    <xf numFmtId="0" fontId="1" fillId="0" borderId="21" xfId="0" applyFont="1" applyBorder="1" applyAlignment="1">
      <alignment vertical="center" wrapText="1"/>
    </xf>
    <xf numFmtId="165" fontId="1" fillId="0" borderId="22" xfId="1" applyNumberFormat="1" applyFont="1" applyBorder="1" applyAlignment="1">
      <alignment horizontal="center" vertical="center" wrapText="1"/>
    </xf>
    <xf numFmtId="165" fontId="1" fillId="0" borderId="23" xfId="1" applyNumberFormat="1" applyFont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165" fontId="5" fillId="0" borderId="15" xfId="1" applyNumberFormat="1" applyFont="1" applyBorder="1" applyAlignment="1">
      <alignment vertical="center" wrapText="1"/>
    </xf>
    <xf numFmtId="165" fontId="5" fillId="0" borderId="1" xfId="1" applyNumberFormat="1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6" fillId="0" borderId="30" xfId="0" applyFont="1" applyBorder="1" applyAlignment="1">
      <alignment vertical="center" wrapText="1"/>
    </xf>
    <xf numFmtId="165" fontId="1" fillId="0" borderId="29" xfId="1" applyNumberFormat="1" applyFont="1" applyBorder="1" applyAlignment="1">
      <alignment horizontal="center" vertical="center" wrapText="1"/>
    </xf>
    <xf numFmtId="0" fontId="1" fillId="0" borderId="30" xfId="0" applyFont="1" applyBorder="1" applyAlignment="1">
      <alignment vertical="center" wrapText="1"/>
    </xf>
    <xf numFmtId="165" fontId="1" fillId="0" borderId="33" xfId="1" applyNumberFormat="1" applyFont="1" applyBorder="1" applyAlignment="1">
      <alignment horizontal="center" vertical="center" wrapText="1"/>
    </xf>
    <xf numFmtId="0" fontId="1" fillId="0" borderId="31" xfId="0" applyFont="1" applyBorder="1" applyAlignment="1">
      <alignment vertical="center" wrapText="1"/>
    </xf>
    <xf numFmtId="0" fontId="6" fillId="0" borderId="31" xfId="0" applyFont="1" applyBorder="1" applyAlignment="1">
      <alignment vertical="center" wrapText="1"/>
    </xf>
    <xf numFmtId="165" fontId="5" fillId="0" borderId="33" xfId="1" applyNumberFormat="1" applyFont="1" applyBorder="1" applyAlignment="1">
      <alignment horizontal="center" vertical="center" wrapText="1"/>
    </xf>
    <xf numFmtId="0" fontId="1" fillId="0" borderId="34" xfId="0" applyFont="1" applyBorder="1" applyAlignment="1">
      <alignment vertical="center" wrapText="1"/>
    </xf>
    <xf numFmtId="165" fontId="1" fillId="0" borderId="35" xfId="1" applyNumberFormat="1" applyFont="1" applyBorder="1" applyAlignment="1">
      <alignment horizontal="center" vertical="center" wrapText="1"/>
    </xf>
    <xf numFmtId="165" fontId="1" fillId="0" borderId="36" xfId="1" applyNumberFormat="1" applyFont="1" applyBorder="1" applyAlignment="1">
      <alignment horizontal="center" vertical="center" wrapText="1"/>
    </xf>
    <xf numFmtId="3" fontId="1" fillId="0" borderId="2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justify" vertical="center" wrapText="1"/>
    </xf>
    <xf numFmtId="3" fontId="9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justify" vertical="center" wrapText="1"/>
    </xf>
    <xf numFmtId="3" fontId="8" fillId="0" borderId="2" xfId="0" applyNumberFormat="1" applyFont="1" applyBorder="1" applyAlignment="1">
      <alignment horizontal="center" vertical="center" wrapText="1"/>
    </xf>
    <xf numFmtId="165" fontId="9" fillId="0" borderId="4" xfId="1" applyNumberFormat="1" applyFont="1" applyBorder="1" applyAlignment="1">
      <alignment horizontal="center" vertical="center" wrapText="1"/>
    </xf>
    <xf numFmtId="3" fontId="9" fillId="0" borderId="4" xfId="0" applyNumberFormat="1" applyFont="1" applyBorder="1" applyAlignment="1">
      <alignment horizontal="center" vertical="center" wrapText="1"/>
    </xf>
    <xf numFmtId="165" fontId="8" fillId="0" borderId="4" xfId="0" applyNumberFormat="1" applyFont="1" applyBorder="1" applyAlignment="1">
      <alignment horizontal="center" vertical="center" wrapText="1"/>
    </xf>
    <xf numFmtId="165" fontId="0" fillId="0" borderId="0" xfId="0" applyNumberFormat="1"/>
    <xf numFmtId="165" fontId="7" fillId="0" borderId="0" xfId="0" applyNumberFormat="1" applyFont="1"/>
    <xf numFmtId="0" fontId="1" fillId="2" borderId="2" xfId="0" applyFont="1" applyFill="1" applyBorder="1" applyAlignment="1">
      <alignment vertical="center" wrapText="1"/>
    </xf>
    <xf numFmtId="165" fontId="1" fillId="2" borderId="14" xfId="1" applyNumberFormat="1" applyFont="1" applyFill="1" applyBorder="1" applyAlignment="1">
      <alignment horizontal="center" vertical="center" wrapText="1"/>
    </xf>
    <xf numFmtId="165" fontId="1" fillId="2" borderId="4" xfId="1" applyNumberFormat="1" applyFont="1" applyFill="1" applyBorder="1" applyAlignment="1">
      <alignment horizontal="center" vertical="center" wrapText="1"/>
    </xf>
    <xf numFmtId="0" fontId="0" fillId="2" borderId="0" xfId="0" applyFill="1"/>
    <xf numFmtId="164" fontId="0" fillId="0" borderId="0" xfId="1" applyFont="1"/>
    <xf numFmtId="165" fontId="1" fillId="2" borderId="2" xfId="1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165" fontId="1" fillId="2" borderId="13" xfId="1" applyNumberFormat="1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vertical="center" wrapText="1"/>
    </xf>
    <xf numFmtId="0" fontId="10" fillId="0" borderId="30" xfId="0" applyFont="1" applyBorder="1" applyAlignment="1">
      <alignment vertical="center" wrapText="1"/>
    </xf>
    <xf numFmtId="165" fontId="10" fillId="0" borderId="8" xfId="1" applyNumberFormat="1" applyFont="1" applyFill="1" applyBorder="1" applyAlignment="1">
      <alignment vertical="center" wrapText="1"/>
    </xf>
    <xf numFmtId="165" fontId="11" fillId="0" borderId="0" xfId="1" applyNumberFormat="1" applyFont="1"/>
    <xf numFmtId="0" fontId="11" fillId="0" borderId="0" xfId="0" applyFont="1"/>
    <xf numFmtId="0" fontId="10" fillId="0" borderId="0" xfId="0" applyFont="1" applyFill="1" applyBorder="1" applyAlignment="1">
      <alignment vertical="center" wrapText="1"/>
    </xf>
    <xf numFmtId="165" fontId="11" fillId="0" borderId="0" xfId="0" applyNumberFormat="1" applyFont="1"/>
    <xf numFmtId="165" fontId="1" fillId="0" borderId="38" xfId="1" applyNumberFormat="1" applyFont="1" applyBorder="1" applyAlignment="1">
      <alignment horizontal="center" vertical="center" wrapText="1"/>
    </xf>
    <xf numFmtId="165" fontId="1" fillId="0" borderId="37" xfId="1" applyNumberFormat="1" applyFont="1" applyBorder="1" applyAlignment="1">
      <alignment horizontal="center" vertical="center" wrapText="1"/>
    </xf>
    <xf numFmtId="0" fontId="9" fillId="0" borderId="0" xfId="0" applyFont="1" applyFill="1" applyBorder="1" applyAlignment="1">
      <alignment vertical="center" wrapText="1"/>
    </xf>
    <xf numFmtId="0" fontId="12" fillId="0" borderId="0" xfId="0" applyFont="1"/>
    <xf numFmtId="165" fontId="13" fillId="0" borderId="0" xfId="0" applyNumberFormat="1" applyFont="1"/>
    <xf numFmtId="3" fontId="12" fillId="0" borderId="0" xfId="0" applyNumberFormat="1" applyFont="1"/>
    <xf numFmtId="1" fontId="12" fillId="0" borderId="0" xfId="0" applyNumberFormat="1" applyFont="1"/>
    <xf numFmtId="3" fontId="10" fillId="2" borderId="2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justify" vertical="center" wrapText="1"/>
    </xf>
    <xf numFmtId="3" fontId="1" fillId="2" borderId="2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justify" vertical="center" wrapText="1"/>
    </xf>
    <xf numFmtId="3" fontId="9" fillId="2" borderId="2" xfId="0" applyNumberFormat="1" applyFont="1" applyFill="1" applyBorder="1" applyAlignment="1">
      <alignment horizontal="center" vertical="center" wrapText="1"/>
    </xf>
    <xf numFmtId="165" fontId="9" fillId="2" borderId="4" xfId="1" applyNumberFormat="1" applyFont="1" applyFill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17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6" fillId="0" borderId="9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</cellXfs>
  <cellStyles count="3"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workbookViewId="0">
      <selection activeCell="B6" sqref="B6"/>
    </sheetView>
  </sheetViews>
  <sheetFormatPr defaultRowHeight="15" x14ac:dyDescent="0.25"/>
  <cols>
    <col min="1" max="1" width="35.42578125" style="9" customWidth="1"/>
    <col min="2" max="5" width="12.42578125" style="9" bestFit="1" customWidth="1"/>
    <col min="6" max="6" width="13.7109375" style="9" bestFit="1" customWidth="1"/>
    <col min="7" max="16384" width="9.140625" style="9"/>
  </cols>
  <sheetData>
    <row r="1" spans="1:6" x14ac:dyDescent="0.25">
      <c r="A1" s="8" t="s">
        <v>12</v>
      </c>
    </row>
    <row r="2" spans="1:6" ht="15.75" thickBot="1" x14ac:dyDescent="0.3"/>
    <row r="3" spans="1:6" ht="16.5" thickBot="1" x14ac:dyDescent="0.3">
      <c r="A3" s="10" t="s">
        <v>7</v>
      </c>
      <c r="B3" s="11">
        <v>1</v>
      </c>
      <c r="C3" s="11">
        <v>2</v>
      </c>
      <c r="D3" s="11">
        <v>3</v>
      </c>
      <c r="E3" s="11">
        <v>4</v>
      </c>
      <c r="F3" s="12" t="s">
        <v>8</v>
      </c>
    </row>
    <row r="4" spans="1:6" ht="16.5" thickBot="1" x14ac:dyDescent="0.3">
      <c r="A4" s="2" t="s">
        <v>9</v>
      </c>
      <c r="B4" s="6">
        <v>800</v>
      </c>
      <c r="C4" s="6">
        <v>700</v>
      </c>
      <c r="D4" s="6">
        <v>900</v>
      </c>
      <c r="E4" s="6">
        <v>800</v>
      </c>
      <c r="F4" s="7">
        <f>SUM(B4:E4)</f>
        <v>3200</v>
      </c>
    </row>
    <row r="5" spans="1:6" ht="16.5" thickBot="1" x14ac:dyDescent="0.3">
      <c r="A5" s="2" t="s">
        <v>10</v>
      </c>
      <c r="B5" s="6">
        <v>80</v>
      </c>
      <c r="C5" s="6">
        <v>80</v>
      </c>
      <c r="D5" s="6">
        <v>80</v>
      </c>
      <c r="E5" s="6">
        <v>80</v>
      </c>
      <c r="F5" s="7"/>
    </row>
    <row r="6" spans="1:6" ht="16.5" thickBot="1" x14ac:dyDescent="0.3">
      <c r="A6" s="2" t="s">
        <v>11</v>
      </c>
      <c r="B6" s="6">
        <f>B4*B5</f>
        <v>64000</v>
      </c>
      <c r="C6" s="6">
        <f>C4*C5</f>
        <v>56000</v>
      </c>
      <c r="D6" s="6">
        <f>D4*D5</f>
        <v>72000</v>
      </c>
      <c r="E6" s="6">
        <f>E4*E5</f>
        <v>64000</v>
      </c>
      <c r="F6" s="7">
        <f>SUM(B6:E6)</f>
        <v>256000</v>
      </c>
    </row>
    <row r="8" spans="1:6" x14ac:dyDescent="0.25">
      <c r="F8" s="64"/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workbookViewId="0">
      <selection activeCell="F13" sqref="F13"/>
    </sheetView>
  </sheetViews>
  <sheetFormatPr defaultRowHeight="15" x14ac:dyDescent="0.25"/>
  <cols>
    <col min="1" max="1" width="37.42578125" customWidth="1"/>
    <col min="2" max="2" width="11.28515625" bestFit="1" customWidth="1"/>
    <col min="3" max="5" width="9.5703125" bestFit="1" customWidth="1"/>
    <col min="6" max="6" width="11.28515625" bestFit="1" customWidth="1"/>
    <col min="7" max="7" width="9.5703125" bestFit="1" customWidth="1"/>
  </cols>
  <sheetData>
    <row r="1" spans="1:7" ht="15.75" x14ac:dyDescent="0.25">
      <c r="A1" s="19" t="s">
        <v>82</v>
      </c>
    </row>
    <row r="2" spans="1:7" ht="15.75" thickBot="1" x14ac:dyDescent="0.3"/>
    <row r="3" spans="1:7" ht="16.5" thickBot="1" x14ac:dyDescent="0.3">
      <c r="A3" s="114" t="s">
        <v>60</v>
      </c>
      <c r="B3" s="107" t="s">
        <v>15</v>
      </c>
      <c r="C3" s="108"/>
      <c r="D3" s="108"/>
      <c r="E3" s="109"/>
      <c r="F3" s="105" t="s">
        <v>16</v>
      </c>
    </row>
    <row r="4" spans="1:7" ht="16.5" thickBot="1" x14ac:dyDescent="0.3">
      <c r="A4" s="115"/>
      <c r="B4" s="16">
        <v>1</v>
      </c>
      <c r="C4" s="16">
        <v>2</v>
      </c>
      <c r="D4" s="16">
        <v>3</v>
      </c>
      <c r="E4" s="16">
        <v>4</v>
      </c>
      <c r="F4" s="106"/>
    </row>
    <row r="5" spans="1:7" ht="16.5" thickBot="1" x14ac:dyDescent="0.3">
      <c r="A5" s="23" t="s">
        <v>75</v>
      </c>
      <c r="B5" s="6">
        <f>Продажи!B6</f>
        <v>64000</v>
      </c>
      <c r="C5" s="6">
        <f>Продажи!C6</f>
        <v>56000</v>
      </c>
      <c r="D5" s="6">
        <f>Продажи!D6</f>
        <v>72000</v>
      </c>
      <c r="E5" s="6">
        <f>Продажи!E6</f>
        <v>64000</v>
      </c>
      <c r="F5" s="7">
        <f>SUM(B5:E5)</f>
        <v>256000</v>
      </c>
    </row>
    <row r="6" spans="1:7" ht="16.5" thickBot="1" x14ac:dyDescent="0.3">
      <c r="A6" s="23" t="s">
        <v>76</v>
      </c>
      <c r="B6" s="24">
        <v>0.05</v>
      </c>
      <c r="C6" s="24">
        <v>0.05</v>
      </c>
      <c r="D6" s="24">
        <v>0.05</v>
      </c>
      <c r="E6" s="24">
        <v>0.05</v>
      </c>
      <c r="F6" s="7"/>
      <c r="G6" s="63"/>
    </row>
    <row r="7" spans="1:7" s="68" customFormat="1" ht="16.5" thickBot="1" x14ac:dyDescent="0.3">
      <c r="A7" s="71" t="s">
        <v>77</v>
      </c>
      <c r="B7" s="70">
        <f>B5*B6</f>
        <v>3200</v>
      </c>
      <c r="C7" s="70">
        <f t="shared" ref="C7:E7" si="0">C5*C6</f>
        <v>2800</v>
      </c>
      <c r="D7" s="70">
        <f t="shared" si="0"/>
        <v>3600</v>
      </c>
      <c r="E7" s="70">
        <f t="shared" si="0"/>
        <v>3200</v>
      </c>
      <c r="F7" s="67">
        <f>SUM(B7:E7)</f>
        <v>12800</v>
      </c>
    </row>
    <row r="8" spans="1:7" s="68" customFormat="1" ht="16.5" thickBot="1" x14ac:dyDescent="0.3">
      <c r="A8" s="110" t="s">
        <v>78</v>
      </c>
      <c r="B8" s="111"/>
      <c r="C8" s="112"/>
      <c r="D8" s="112"/>
      <c r="E8" s="112"/>
      <c r="F8" s="113"/>
    </row>
    <row r="9" spans="1:7" s="68" customFormat="1" ht="16.5" thickBot="1" x14ac:dyDescent="0.3">
      <c r="A9" s="65" t="s">
        <v>79</v>
      </c>
      <c r="B9" s="72">
        <v>1100</v>
      </c>
      <c r="C9" s="66">
        <f>B9</f>
        <v>1100</v>
      </c>
      <c r="D9" s="66">
        <f t="shared" ref="D9:E9" si="1">C9</f>
        <v>1100</v>
      </c>
      <c r="E9" s="66">
        <f t="shared" si="1"/>
        <v>1100</v>
      </c>
      <c r="F9" s="67">
        <f>SUM(B9:E9)</f>
        <v>4400</v>
      </c>
    </row>
    <row r="10" spans="1:7" s="68" customFormat="1" ht="16.5" thickBot="1" x14ac:dyDescent="0.3">
      <c r="A10" s="65" t="s">
        <v>80</v>
      </c>
      <c r="B10" s="66">
        <v>4000</v>
      </c>
      <c r="C10" s="66">
        <f>B10</f>
        <v>4000</v>
      </c>
      <c r="D10" s="66">
        <f t="shared" ref="D10:E10" si="2">C10</f>
        <v>4000</v>
      </c>
      <c r="E10" s="66">
        <f t="shared" si="2"/>
        <v>4000</v>
      </c>
      <c r="F10" s="67">
        <f>SUM(B10:E10)</f>
        <v>16000</v>
      </c>
    </row>
    <row r="11" spans="1:7" s="68" customFormat="1" ht="16.5" thickBot="1" x14ac:dyDescent="0.3">
      <c r="A11" s="65" t="s">
        <v>174</v>
      </c>
      <c r="B11" s="66">
        <f>SUM(B9:B10)</f>
        <v>5100</v>
      </c>
      <c r="C11" s="66">
        <f t="shared" ref="C11:E11" si="3">SUM(C9:C10)</f>
        <v>5100</v>
      </c>
      <c r="D11" s="66">
        <f t="shared" si="3"/>
        <v>5100</v>
      </c>
      <c r="E11" s="66">
        <f t="shared" si="3"/>
        <v>5100</v>
      </c>
      <c r="F11" s="67">
        <f>SUM(B11:E11)</f>
        <v>20400</v>
      </c>
    </row>
    <row r="12" spans="1:7" ht="16.5" thickBot="1" x14ac:dyDescent="0.3">
      <c r="A12" s="2" t="s">
        <v>81</v>
      </c>
      <c r="B12" s="26">
        <f>B7+B11</f>
        <v>8300</v>
      </c>
      <c r="C12" s="26">
        <f t="shared" ref="C12:E12" si="4">C7+C11</f>
        <v>7900</v>
      </c>
      <c r="D12" s="26">
        <f t="shared" si="4"/>
        <v>8700</v>
      </c>
      <c r="E12" s="26">
        <f t="shared" si="4"/>
        <v>8300</v>
      </c>
      <c r="F12" s="7">
        <f>SUM(B12:E12)</f>
        <v>33200</v>
      </c>
    </row>
  </sheetData>
  <mergeCells count="4">
    <mergeCell ref="A8:F8"/>
    <mergeCell ref="A3:A4"/>
    <mergeCell ref="B3:E3"/>
    <mergeCell ref="F3:F4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workbookViewId="0">
      <selection activeCell="A21" sqref="A21"/>
    </sheetView>
  </sheetViews>
  <sheetFormatPr defaultRowHeight="15" x14ac:dyDescent="0.25"/>
  <cols>
    <col min="1" max="1" width="55.42578125" customWidth="1"/>
    <col min="2" max="2" width="9.5703125" bestFit="1" customWidth="1"/>
    <col min="6" max="6" width="9.5703125" bestFit="1" customWidth="1"/>
  </cols>
  <sheetData>
    <row r="1" spans="1:6" ht="15.75" x14ac:dyDescent="0.25">
      <c r="A1" s="15" t="s">
        <v>94</v>
      </c>
    </row>
    <row r="2" spans="1:6" ht="15.75" thickBot="1" x14ac:dyDescent="0.3"/>
    <row r="3" spans="1:6" ht="16.5" thickBot="1" x14ac:dyDescent="0.3">
      <c r="A3" s="105" t="s">
        <v>83</v>
      </c>
      <c r="B3" s="107" t="s">
        <v>15</v>
      </c>
      <c r="C3" s="108"/>
      <c r="D3" s="108"/>
      <c r="E3" s="109"/>
      <c r="F3" s="105" t="s">
        <v>16</v>
      </c>
    </row>
    <row r="4" spans="1:6" ht="16.5" thickBot="1" x14ac:dyDescent="0.3">
      <c r="A4" s="106"/>
      <c r="B4" s="22">
        <v>1</v>
      </c>
      <c r="C4" s="22">
        <v>2</v>
      </c>
      <c r="D4" s="22">
        <v>3</v>
      </c>
      <c r="E4" s="22">
        <v>4</v>
      </c>
      <c r="F4" s="106"/>
    </row>
    <row r="5" spans="1:6" ht="16.5" thickBot="1" x14ac:dyDescent="0.3">
      <c r="A5" s="2" t="s">
        <v>84</v>
      </c>
      <c r="B5" s="6">
        <v>100</v>
      </c>
      <c r="C5" s="6">
        <v>100</v>
      </c>
      <c r="D5" s="6">
        <v>100</v>
      </c>
      <c r="E5" s="6">
        <v>100</v>
      </c>
      <c r="F5" s="7">
        <f>SUM(B5:E5)</f>
        <v>400</v>
      </c>
    </row>
    <row r="6" spans="1:6" ht="16.5" thickBot="1" x14ac:dyDescent="0.3">
      <c r="A6" s="2" t="s">
        <v>85</v>
      </c>
      <c r="B6" s="6">
        <v>350</v>
      </c>
      <c r="C6" s="6">
        <f>B6</f>
        <v>350</v>
      </c>
      <c r="D6" s="6">
        <f t="shared" ref="D6:E6" si="0">C6</f>
        <v>350</v>
      </c>
      <c r="E6" s="6">
        <f t="shared" si="0"/>
        <v>350</v>
      </c>
      <c r="F6" s="7">
        <f>SUM(B6:E6)</f>
        <v>1400</v>
      </c>
    </row>
    <row r="7" spans="1:6" s="68" customFormat="1" ht="16.5" thickBot="1" x14ac:dyDescent="0.3">
      <c r="A7" s="73" t="s">
        <v>86</v>
      </c>
      <c r="B7" s="70">
        <f>280</f>
        <v>280</v>
      </c>
      <c r="C7" s="70">
        <v>0</v>
      </c>
      <c r="D7" s="70">
        <v>0</v>
      </c>
      <c r="E7" s="70">
        <v>0</v>
      </c>
      <c r="F7" s="67">
        <f t="shared" ref="F7:F12" si="1">SUM(B7:E7)</f>
        <v>280</v>
      </c>
    </row>
    <row r="8" spans="1:6" s="68" customFormat="1" ht="16.5" thickBot="1" x14ac:dyDescent="0.3">
      <c r="A8" s="65" t="s">
        <v>87</v>
      </c>
      <c r="B8" s="70">
        <v>4450</v>
      </c>
      <c r="C8" s="70">
        <v>4450</v>
      </c>
      <c r="D8" s="70">
        <v>4450</v>
      </c>
      <c r="E8" s="70">
        <v>4450</v>
      </c>
      <c r="F8" s="67">
        <f t="shared" si="1"/>
        <v>17800</v>
      </c>
    </row>
    <row r="9" spans="1:6" s="68" customFormat="1" ht="16.5" thickBot="1" x14ac:dyDescent="0.3">
      <c r="A9" s="65" t="s">
        <v>88</v>
      </c>
      <c r="B9" s="70">
        <v>5</v>
      </c>
      <c r="C9" s="70">
        <v>5</v>
      </c>
      <c r="D9" s="70">
        <v>5</v>
      </c>
      <c r="E9" s="70">
        <v>5</v>
      </c>
      <c r="F9" s="67">
        <f t="shared" si="1"/>
        <v>20</v>
      </c>
    </row>
    <row r="10" spans="1:6" s="68" customFormat="1" ht="16.5" thickBot="1" x14ac:dyDescent="0.3">
      <c r="A10" s="65" t="s">
        <v>89</v>
      </c>
      <c r="B10" s="70">
        <v>10</v>
      </c>
      <c r="C10" s="70">
        <v>10</v>
      </c>
      <c r="D10" s="70">
        <v>10</v>
      </c>
      <c r="E10" s="70">
        <v>10</v>
      </c>
      <c r="F10" s="67">
        <f t="shared" si="1"/>
        <v>40</v>
      </c>
    </row>
    <row r="11" spans="1:6" s="68" customFormat="1" ht="16.5" thickBot="1" x14ac:dyDescent="0.3">
      <c r="A11" s="65" t="s">
        <v>90</v>
      </c>
      <c r="B11" s="70">
        <v>30</v>
      </c>
      <c r="C11" s="70">
        <v>30</v>
      </c>
      <c r="D11" s="70">
        <v>30</v>
      </c>
      <c r="E11" s="70">
        <v>30</v>
      </c>
      <c r="F11" s="67">
        <f>SUM(C11:E11)</f>
        <v>90</v>
      </c>
    </row>
    <row r="12" spans="1:6" s="68" customFormat="1" ht="16.5" thickBot="1" x14ac:dyDescent="0.3">
      <c r="A12" s="65" t="s">
        <v>91</v>
      </c>
      <c r="B12" s="70">
        <v>5</v>
      </c>
      <c r="C12" s="70">
        <v>5</v>
      </c>
      <c r="D12" s="70">
        <v>5</v>
      </c>
      <c r="E12" s="70">
        <v>5</v>
      </c>
      <c r="F12" s="67">
        <f t="shared" si="1"/>
        <v>20</v>
      </c>
    </row>
    <row r="13" spans="1:6" s="68" customFormat="1" ht="16.5" thickBot="1" x14ac:dyDescent="0.3">
      <c r="A13" s="65" t="s">
        <v>92</v>
      </c>
      <c r="B13" s="70">
        <f>SUM(B5:B12)</f>
        <v>5230</v>
      </c>
      <c r="C13" s="70">
        <f>SUM(C5:C12)</f>
        <v>4950</v>
      </c>
      <c r="D13" s="70">
        <f t="shared" ref="D13:E13" si="2">SUM(D5:D12)</f>
        <v>4950</v>
      </c>
      <c r="E13" s="70">
        <f t="shared" si="2"/>
        <v>4950</v>
      </c>
      <c r="F13" s="67">
        <f>SUM(B13:E13)</f>
        <v>20080</v>
      </c>
    </row>
    <row r="14" spans="1:6" s="68" customFormat="1" ht="16.5" thickBot="1" x14ac:dyDescent="0.3">
      <c r="A14" s="65" t="s">
        <v>171</v>
      </c>
      <c r="B14" s="70"/>
      <c r="C14" s="70"/>
      <c r="D14" s="70">
        <v>1200</v>
      </c>
      <c r="E14" s="70"/>
      <c r="F14" s="67">
        <f>SUM(B14:E14)</f>
        <v>1200</v>
      </c>
    </row>
    <row r="15" spans="1:6" ht="16.5" thickBot="1" x14ac:dyDescent="0.3">
      <c r="A15" s="2" t="s">
        <v>93</v>
      </c>
      <c r="B15" s="6">
        <f>B13-B5</f>
        <v>5130</v>
      </c>
      <c r="C15" s="6">
        <f>C13-C5</f>
        <v>4850</v>
      </c>
      <c r="D15" s="6">
        <f>D13-D5+1200</f>
        <v>6050</v>
      </c>
      <c r="E15" s="6">
        <f t="shared" ref="E15" si="3">E13-E5</f>
        <v>4850</v>
      </c>
      <c r="F15" s="7">
        <f>SUM(B15:E15)</f>
        <v>20880</v>
      </c>
    </row>
    <row r="17" spans="1:1" ht="47.25" x14ac:dyDescent="0.25">
      <c r="A17" s="82" t="s">
        <v>135</v>
      </c>
    </row>
  </sheetData>
  <mergeCells count="3">
    <mergeCell ref="A3:A4"/>
    <mergeCell ref="B3:E3"/>
    <mergeCell ref="F3:F4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workbookViewId="0"/>
  </sheetViews>
  <sheetFormatPr defaultRowHeight="15" x14ac:dyDescent="0.25"/>
  <cols>
    <col min="1" max="1" width="46.140625" customWidth="1"/>
    <col min="2" max="5" width="9.5703125" bestFit="1" customWidth="1"/>
    <col min="6" max="6" width="11.28515625" bestFit="1" customWidth="1"/>
  </cols>
  <sheetData>
    <row r="1" spans="1:6" ht="15.75" x14ac:dyDescent="0.25">
      <c r="A1" s="19" t="s">
        <v>176</v>
      </c>
    </row>
    <row r="2" spans="1:6" ht="15.75" thickBot="1" x14ac:dyDescent="0.3"/>
    <row r="3" spans="1:6" ht="16.5" thickBot="1" x14ac:dyDescent="0.3">
      <c r="A3" s="105" t="s">
        <v>83</v>
      </c>
      <c r="B3" s="107" t="s">
        <v>15</v>
      </c>
      <c r="C3" s="108"/>
      <c r="D3" s="108"/>
      <c r="E3" s="109"/>
      <c r="F3" s="105" t="s">
        <v>16</v>
      </c>
    </row>
    <row r="4" spans="1:6" ht="16.5" thickBot="1" x14ac:dyDescent="0.3">
      <c r="A4" s="106"/>
      <c r="B4" s="22">
        <v>1</v>
      </c>
      <c r="C4" s="22">
        <v>2</v>
      </c>
      <c r="D4" s="22">
        <v>3</v>
      </c>
      <c r="E4" s="22">
        <v>4</v>
      </c>
      <c r="F4" s="106"/>
    </row>
    <row r="5" spans="1:6" ht="16.5" thickBot="1" x14ac:dyDescent="0.3">
      <c r="A5" s="2" t="s">
        <v>95</v>
      </c>
      <c r="B5" s="6">
        <f>Продажи!B4</f>
        <v>800</v>
      </c>
      <c r="C5" s="6">
        <f>Продажи!C4</f>
        <v>700</v>
      </c>
      <c r="D5" s="6">
        <f>Продажи!D4</f>
        <v>900</v>
      </c>
      <c r="E5" s="6">
        <f>Продажи!E4</f>
        <v>800</v>
      </c>
      <c r="F5" s="7">
        <f>SUM(B5:E5)</f>
        <v>3200</v>
      </c>
    </row>
    <row r="6" spans="1:6" ht="16.5" thickBot="1" x14ac:dyDescent="0.3">
      <c r="A6" s="2" t="s">
        <v>96</v>
      </c>
      <c r="B6" s="6">
        <f>Продажи!B6</f>
        <v>64000</v>
      </c>
      <c r="C6" s="6">
        <f>Продажи!C6</f>
        <v>56000</v>
      </c>
      <c r="D6" s="6">
        <f>Продажи!D6</f>
        <v>72000</v>
      </c>
      <c r="E6" s="6">
        <f>Продажи!E6</f>
        <v>64000</v>
      </c>
      <c r="F6" s="80">
        <f t="shared" ref="F6:F15" si="0">SUM(B6:E6)</f>
        <v>256000</v>
      </c>
    </row>
    <row r="7" spans="1:6" ht="16.5" thickBot="1" x14ac:dyDescent="0.3">
      <c r="A7" s="2" t="s">
        <v>97</v>
      </c>
      <c r="B7" s="6">
        <f>B26</f>
        <v>32740</v>
      </c>
      <c r="C7" s="6">
        <f t="shared" ref="C7:F7" si="1">C26</f>
        <v>28428</v>
      </c>
      <c r="D7" s="6">
        <f t="shared" si="1"/>
        <v>37654</v>
      </c>
      <c r="E7" s="6">
        <f t="shared" si="1"/>
        <v>33224</v>
      </c>
      <c r="F7" s="81">
        <f t="shared" si="1"/>
        <v>132046</v>
      </c>
    </row>
    <row r="8" spans="1:6" ht="16.5" thickBot="1" x14ac:dyDescent="0.3">
      <c r="A8" s="2" t="s">
        <v>98</v>
      </c>
      <c r="B8" s="6">
        <f>'Ком расх'!B7</f>
        <v>3200</v>
      </c>
      <c r="C8" s="6">
        <f>'Ком расх'!C7</f>
        <v>2800</v>
      </c>
      <c r="D8" s="6">
        <f>'Ком расх'!D7</f>
        <v>3600</v>
      </c>
      <c r="E8" s="6">
        <f>'Ком расх'!E7</f>
        <v>3200</v>
      </c>
      <c r="F8" s="7">
        <f t="shared" si="0"/>
        <v>12800</v>
      </c>
    </row>
    <row r="9" spans="1:6" ht="16.5" thickBot="1" x14ac:dyDescent="0.3">
      <c r="A9" s="2" t="s">
        <v>99</v>
      </c>
      <c r="B9" s="6">
        <v>0</v>
      </c>
      <c r="C9" s="6">
        <v>0</v>
      </c>
      <c r="D9" s="6">
        <v>0</v>
      </c>
      <c r="E9" s="6">
        <v>0</v>
      </c>
      <c r="F9" s="7">
        <f t="shared" si="0"/>
        <v>0</v>
      </c>
    </row>
    <row r="10" spans="1:6" ht="16.5" thickBot="1" x14ac:dyDescent="0.3">
      <c r="A10" s="2" t="s">
        <v>100</v>
      </c>
      <c r="B10" s="6">
        <f>B6-B7-B8-B9</f>
        <v>28060</v>
      </c>
      <c r="C10" s="6">
        <f t="shared" ref="C10:E10" si="2">C6-C7-C8-C9</f>
        <v>24772</v>
      </c>
      <c r="D10" s="6">
        <f t="shared" si="2"/>
        <v>30746</v>
      </c>
      <c r="E10" s="6">
        <f t="shared" si="2"/>
        <v>27576</v>
      </c>
      <c r="F10" s="7">
        <f>SUM(B10:E10)</f>
        <v>111154</v>
      </c>
    </row>
    <row r="11" spans="1:6" ht="16.5" thickBot="1" x14ac:dyDescent="0.3">
      <c r="A11" s="2" t="s">
        <v>101</v>
      </c>
      <c r="B11" s="6">
        <f>Накл!B8</f>
        <v>6000</v>
      </c>
      <c r="C11" s="6">
        <f>Накл!C8</f>
        <v>6000</v>
      </c>
      <c r="D11" s="6">
        <f>Накл!D8</f>
        <v>6000</v>
      </c>
      <c r="E11" s="6">
        <f>Накл!E8</f>
        <v>6000</v>
      </c>
      <c r="F11" s="7">
        <f t="shared" si="0"/>
        <v>24000</v>
      </c>
    </row>
    <row r="12" spans="1:6" ht="16.5" thickBot="1" x14ac:dyDescent="0.3">
      <c r="A12" s="2" t="s">
        <v>102</v>
      </c>
      <c r="B12" s="6">
        <f>'Ком расх'!B9+'Ком расх'!B10</f>
        <v>5100</v>
      </c>
      <c r="C12" s="6">
        <f>'Ком расх'!C9+'Ком расх'!C10</f>
        <v>5100</v>
      </c>
      <c r="D12" s="6">
        <f>'Ком расх'!D9+'Ком расх'!D10</f>
        <v>5100</v>
      </c>
      <c r="E12" s="6">
        <f>'Ком расх'!E9+'Ком расх'!E10</f>
        <v>5100</v>
      </c>
      <c r="F12" s="7">
        <f t="shared" si="0"/>
        <v>20400</v>
      </c>
    </row>
    <row r="13" spans="1:6" ht="16.5" thickBot="1" x14ac:dyDescent="0.3">
      <c r="A13" s="2" t="s">
        <v>103</v>
      </c>
      <c r="B13" s="6">
        <f>Адм!B13</f>
        <v>5230</v>
      </c>
      <c r="C13" s="6">
        <f>Адм!C13</f>
        <v>4950</v>
      </c>
      <c r="D13" s="6">
        <f>Адм!D13</f>
        <v>4950</v>
      </c>
      <c r="E13" s="6">
        <f>Адм!E13</f>
        <v>4950</v>
      </c>
      <c r="F13" s="7">
        <f t="shared" si="0"/>
        <v>20080</v>
      </c>
    </row>
    <row r="14" spans="1:6" ht="16.5" thickBot="1" x14ac:dyDescent="0.3">
      <c r="A14" s="2" t="s">
        <v>104</v>
      </c>
      <c r="B14" s="6">
        <f>B10-B11-B12-B13</f>
        <v>11730</v>
      </c>
      <c r="C14" s="6">
        <f t="shared" ref="C14:E14" si="3">C10-C11-C12-C13</f>
        <v>8722</v>
      </c>
      <c r="D14" s="6">
        <f t="shared" si="3"/>
        <v>14696</v>
      </c>
      <c r="E14" s="6">
        <f t="shared" si="3"/>
        <v>11526</v>
      </c>
      <c r="F14" s="7">
        <f>SUM(B14:E14)</f>
        <v>46674</v>
      </c>
    </row>
    <row r="15" spans="1:6" ht="16.5" thickBot="1" x14ac:dyDescent="0.3">
      <c r="A15" s="2" t="s">
        <v>105</v>
      </c>
      <c r="B15" s="6">
        <v>0</v>
      </c>
      <c r="C15" s="6">
        <v>0</v>
      </c>
      <c r="D15" s="6">
        <v>0</v>
      </c>
      <c r="E15" s="6">
        <v>0</v>
      </c>
      <c r="F15" s="7">
        <f t="shared" si="0"/>
        <v>0</v>
      </c>
    </row>
    <row r="16" spans="1:6" ht="16.5" thickBot="1" x14ac:dyDescent="0.3">
      <c r="A16" s="2" t="s">
        <v>106</v>
      </c>
      <c r="B16" s="6">
        <v>0</v>
      </c>
      <c r="C16" s="6">
        <v>0</v>
      </c>
      <c r="D16" s="6">
        <f>11570*20%/12*3</f>
        <v>578.5</v>
      </c>
      <c r="E16" s="6">
        <f>4000*20%/12*3</f>
        <v>200</v>
      </c>
      <c r="F16" s="7">
        <f>SUM(B16:E16)</f>
        <v>778.5</v>
      </c>
    </row>
    <row r="17" spans="1:6" ht="16.5" thickBot="1" x14ac:dyDescent="0.3">
      <c r="A17" s="2" t="s">
        <v>107</v>
      </c>
      <c r="B17" s="6">
        <f>B14-B16</f>
        <v>11730</v>
      </c>
      <c r="C17" s="6">
        <f t="shared" ref="C17" si="4">C14-C16</f>
        <v>8722</v>
      </c>
      <c r="D17" s="6">
        <f>D14-D16</f>
        <v>14117.5</v>
      </c>
      <c r="E17" s="6">
        <f>E14-E16</f>
        <v>11326</v>
      </c>
      <c r="F17" s="7">
        <f>SUM(B17:E17)</f>
        <v>45895.5</v>
      </c>
    </row>
    <row r="18" spans="1:6" ht="16.5" thickBot="1" x14ac:dyDescent="0.3">
      <c r="A18" s="2" t="s">
        <v>108</v>
      </c>
      <c r="B18" s="6">
        <f>B17*20%</f>
        <v>2346</v>
      </c>
      <c r="C18" s="6">
        <f>C17*20%</f>
        <v>1744.4</v>
      </c>
      <c r="D18" s="6">
        <f>D17*20%</f>
        <v>2823.5</v>
      </c>
      <c r="E18" s="6">
        <f>E17*20%</f>
        <v>2265.2000000000003</v>
      </c>
      <c r="F18" s="7">
        <f>SUM(B18:E18)</f>
        <v>9179.1</v>
      </c>
    </row>
    <row r="19" spans="1:6" ht="16.5" thickBot="1" x14ac:dyDescent="0.3">
      <c r="A19" s="2" t="s">
        <v>109</v>
      </c>
      <c r="B19" s="6">
        <f>B17-B18</f>
        <v>9384</v>
      </c>
      <c r="C19" s="6">
        <f t="shared" ref="C19:E19" si="5">C17-C18</f>
        <v>6977.6</v>
      </c>
      <c r="D19" s="6">
        <f t="shared" si="5"/>
        <v>11294</v>
      </c>
      <c r="E19" s="6">
        <f t="shared" si="5"/>
        <v>9060.7999999999993</v>
      </c>
      <c r="F19" s="7">
        <f>SUM(B19:E19)</f>
        <v>36716.399999999994</v>
      </c>
    </row>
    <row r="22" spans="1:6" ht="15.75" x14ac:dyDescent="0.25">
      <c r="A22" s="82" t="s">
        <v>172</v>
      </c>
      <c r="B22" s="83"/>
      <c r="C22" s="83"/>
      <c r="D22" s="83"/>
      <c r="E22" s="83"/>
      <c r="F22" s="83"/>
    </row>
    <row r="23" spans="1:6" ht="15.75" x14ac:dyDescent="0.25">
      <c r="A23" s="82" t="s">
        <v>63</v>
      </c>
      <c r="B23" s="83">
        <f>'Мат затраты'!B12</f>
        <v>4740</v>
      </c>
      <c r="C23" s="83">
        <f>'Мат затраты'!C12</f>
        <v>4278</v>
      </c>
      <c r="D23" s="83">
        <f>'Мат затраты'!D12</f>
        <v>5454</v>
      </c>
      <c r="E23" s="83">
        <f>'Мат затраты'!E12</f>
        <v>4874</v>
      </c>
      <c r="F23" s="83">
        <f>SUM(B23:E23)</f>
        <v>19346</v>
      </c>
    </row>
    <row r="24" spans="1:6" ht="15.75" x14ac:dyDescent="0.25">
      <c r="A24" s="82" t="s">
        <v>173</v>
      </c>
      <c r="B24" s="83">
        <f>'ЗП прям'!B9</f>
        <v>20000</v>
      </c>
      <c r="C24" s="83">
        <f>'ЗП прям'!C9</f>
        <v>17250</v>
      </c>
      <c r="D24" s="83">
        <f>'ЗП прям'!D9</f>
        <v>23000</v>
      </c>
      <c r="E24" s="83">
        <f>'ЗП прям'!E9</f>
        <v>20250</v>
      </c>
      <c r="F24" s="83">
        <f>SUM(B24:E24)</f>
        <v>80500</v>
      </c>
    </row>
    <row r="25" spans="1:6" ht="15.75" x14ac:dyDescent="0.25">
      <c r="A25" s="82" t="s">
        <v>175</v>
      </c>
      <c r="B25" s="83">
        <f>Накл!B7</f>
        <v>8000</v>
      </c>
      <c r="C25" s="83">
        <f>Накл!C7</f>
        <v>6900</v>
      </c>
      <c r="D25" s="83">
        <f>Накл!D7</f>
        <v>9200</v>
      </c>
      <c r="E25" s="83">
        <f>Накл!E7</f>
        <v>8100</v>
      </c>
      <c r="F25" s="83">
        <f>SUM(B25:E25)</f>
        <v>32200</v>
      </c>
    </row>
    <row r="26" spans="1:6" x14ac:dyDescent="0.25">
      <c r="A26" s="83"/>
      <c r="B26" s="83">
        <f>SUM(B23:B25)</f>
        <v>32740</v>
      </c>
      <c r="C26" s="83">
        <f>SUM(C23:C25)</f>
        <v>28428</v>
      </c>
      <c r="D26" s="83">
        <f>SUM(D23:D25)</f>
        <v>37654</v>
      </c>
      <c r="E26" s="83">
        <f>SUM(E23:E25)</f>
        <v>33224</v>
      </c>
      <c r="F26" s="83">
        <f>SUM(F23:F25)</f>
        <v>132046</v>
      </c>
    </row>
  </sheetData>
  <mergeCells count="3">
    <mergeCell ref="A3:A4"/>
    <mergeCell ref="B3:E3"/>
    <mergeCell ref="F3:F4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zoomScale="93" zoomScaleNormal="93" workbookViewId="0"/>
  </sheetViews>
  <sheetFormatPr defaultRowHeight="15" x14ac:dyDescent="0.25"/>
  <cols>
    <col min="1" max="1" width="51.7109375" customWidth="1"/>
    <col min="2" max="2" width="10.5703125" customWidth="1"/>
    <col min="3" max="3" width="9.85546875" bestFit="1" customWidth="1"/>
    <col min="4" max="5" width="9.5703125" bestFit="1" customWidth="1"/>
  </cols>
  <sheetData>
    <row r="1" spans="1:5" ht="15.75" x14ac:dyDescent="0.25">
      <c r="A1" s="15" t="s">
        <v>177</v>
      </c>
    </row>
    <row r="2" spans="1:5" ht="15.75" thickBot="1" x14ac:dyDescent="0.3"/>
    <row r="3" spans="1:5" ht="16.5" thickBot="1" x14ac:dyDescent="0.3">
      <c r="A3" s="120" t="s">
        <v>83</v>
      </c>
      <c r="B3" s="122" t="s">
        <v>15</v>
      </c>
      <c r="C3" s="123"/>
      <c r="D3" s="123"/>
      <c r="E3" s="124"/>
    </row>
    <row r="4" spans="1:5" ht="16.5" thickBot="1" x14ac:dyDescent="0.3">
      <c r="A4" s="121"/>
      <c r="B4" s="21">
        <v>1</v>
      </c>
      <c r="C4" s="22">
        <v>2</v>
      </c>
      <c r="D4" s="22">
        <v>3</v>
      </c>
      <c r="E4" s="44">
        <v>4</v>
      </c>
    </row>
    <row r="5" spans="1:5" ht="16.5" thickBot="1" x14ac:dyDescent="0.3">
      <c r="A5" s="45" t="s">
        <v>110</v>
      </c>
      <c r="B5" s="27">
        <v>10000</v>
      </c>
      <c r="C5" s="6">
        <f>B30</f>
        <v>10500</v>
      </c>
      <c r="D5" s="6">
        <f>C30</f>
        <v>7481</v>
      </c>
      <c r="E5" s="46">
        <f>D30</f>
        <v>7596.5</v>
      </c>
    </row>
    <row r="6" spans="1:5" ht="16.5" thickBot="1" x14ac:dyDescent="0.3">
      <c r="A6" s="116" t="s">
        <v>111</v>
      </c>
      <c r="B6" s="102"/>
      <c r="C6" s="102"/>
      <c r="D6" s="102"/>
      <c r="E6" s="118"/>
    </row>
    <row r="7" spans="1:5" ht="16.5" thickBot="1" x14ac:dyDescent="0.3">
      <c r="A7" s="47" t="s">
        <v>112</v>
      </c>
      <c r="B7" s="27">
        <f>Поступл!C12</f>
        <v>54300</v>
      </c>
      <c r="C7" s="27">
        <f>Поступл!D12</f>
        <v>57120</v>
      </c>
      <c r="D7" s="27">
        <f>Поступл!E12</f>
        <v>66080</v>
      </c>
      <c r="E7" s="48">
        <f>Поступл!F12</f>
        <v>64960</v>
      </c>
    </row>
    <row r="8" spans="1:5" ht="16.5" thickBot="1" x14ac:dyDescent="0.3">
      <c r="A8" s="47" t="s">
        <v>113</v>
      </c>
      <c r="B8" s="27">
        <v>0</v>
      </c>
      <c r="C8" s="27">
        <v>0</v>
      </c>
      <c r="D8" s="27">
        <v>0</v>
      </c>
      <c r="E8" s="48">
        <v>0</v>
      </c>
    </row>
    <row r="9" spans="1:5" ht="16.5" thickBot="1" x14ac:dyDescent="0.3">
      <c r="A9" s="47" t="s">
        <v>114</v>
      </c>
      <c r="B9" s="27">
        <f>SUM(B7:B8)</f>
        <v>54300</v>
      </c>
      <c r="C9" s="27">
        <f t="shared" ref="C9:E9" si="0">SUM(C7:C8)</f>
        <v>57120</v>
      </c>
      <c r="D9" s="27">
        <f t="shared" si="0"/>
        <v>66080</v>
      </c>
      <c r="E9" s="48">
        <f t="shared" si="0"/>
        <v>64960</v>
      </c>
    </row>
    <row r="10" spans="1:5" ht="16.5" thickBot="1" x14ac:dyDescent="0.3">
      <c r="A10" s="116" t="s">
        <v>115</v>
      </c>
      <c r="B10" s="102"/>
      <c r="C10" s="102"/>
      <c r="D10" s="102"/>
      <c r="E10" s="118"/>
    </row>
    <row r="11" spans="1:5" ht="16.5" thickBot="1" x14ac:dyDescent="0.3">
      <c r="A11" s="47" t="s">
        <v>116</v>
      </c>
      <c r="B11" s="27">
        <f>'Оплата мат'!B12</f>
        <v>2370</v>
      </c>
      <c r="C11" s="27">
        <f>'Оплата мат'!C12</f>
        <v>4509</v>
      </c>
      <c r="D11" s="27">
        <f>'Оплата мат'!D12</f>
        <v>4866</v>
      </c>
      <c r="E11" s="48">
        <f>'Оплата мат'!E12</f>
        <v>5164</v>
      </c>
    </row>
    <row r="12" spans="1:5" ht="16.5" thickBot="1" x14ac:dyDescent="0.3">
      <c r="A12" s="47" t="s">
        <v>117</v>
      </c>
      <c r="B12" s="27">
        <f>'ЗП прям'!B10</f>
        <v>20000</v>
      </c>
      <c r="C12" s="27">
        <f>'ЗП прям'!C10</f>
        <v>17250</v>
      </c>
      <c r="D12" s="27">
        <f>'ЗП прям'!D10</f>
        <v>23000</v>
      </c>
      <c r="E12" s="48">
        <f>'ЗП прям'!E10</f>
        <v>20250</v>
      </c>
    </row>
    <row r="13" spans="1:5" ht="16.5" thickBot="1" x14ac:dyDescent="0.3">
      <c r="A13" s="47" t="s">
        <v>118</v>
      </c>
      <c r="B13" s="27">
        <f>Накл!B12</f>
        <v>14000</v>
      </c>
      <c r="C13" s="27">
        <f>Накл!C12</f>
        <v>12900</v>
      </c>
      <c r="D13" s="27">
        <f>Накл!D12</f>
        <v>15200</v>
      </c>
      <c r="E13" s="48">
        <f>Накл!E12</f>
        <v>14100</v>
      </c>
    </row>
    <row r="14" spans="1:5" ht="16.5" thickBot="1" x14ac:dyDescent="0.3">
      <c r="A14" s="47" t="s">
        <v>119</v>
      </c>
      <c r="B14" s="27">
        <f>'Ком расх'!B12</f>
        <v>8300</v>
      </c>
      <c r="C14" s="27">
        <f>'Ком расх'!C12</f>
        <v>7900</v>
      </c>
      <c r="D14" s="27">
        <f>'Ком расх'!D12</f>
        <v>8700</v>
      </c>
      <c r="E14" s="48">
        <f>'Ком расх'!E12</f>
        <v>8300</v>
      </c>
    </row>
    <row r="15" spans="1:5" ht="16.5" thickBot="1" x14ac:dyDescent="0.3">
      <c r="A15" s="47" t="s">
        <v>120</v>
      </c>
      <c r="B15" s="27">
        <f>Адм!B15</f>
        <v>5130</v>
      </c>
      <c r="C15" s="27">
        <f>Адм!C15</f>
        <v>4850</v>
      </c>
      <c r="D15" s="27">
        <f>Адм!D15</f>
        <v>6050</v>
      </c>
      <c r="E15" s="48">
        <f>Адм!E15</f>
        <v>4850</v>
      </c>
    </row>
    <row r="16" spans="1:5" ht="16.5" thickBot="1" x14ac:dyDescent="0.3">
      <c r="A16" s="74" t="s">
        <v>136</v>
      </c>
      <c r="B16" s="27">
        <v>4000</v>
      </c>
      <c r="C16" s="6"/>
      <c r="D16" s="6"/>
      <c r="E16" s="46"/>
    </row>
    <row r="17" spans="1:5" ht="16.5" thickBot="1" x14ac:dyDescent="0.3">
      <c r="A17" s="47" t="s">
        <v>121</v>
      </c>
      <c r="B17" s="27">
        <f>SUM(B11:B16)</f>
        <v>53800</v>
      </c>
      <c r="C17" s="27">
        <f>SUM(C11:C16)</f>
        <v>47409</v>
      </c>
      <c r="D17" s="27">
        <f>SUM(D11:D16)</f>
        <v>57816</v>
      </c>
      <c r="E17" s="48">
        <f>SUM(E11:E16)</f>
        <v>52664</v>
      </c>
    </row>
    <row r="18" spans="1:5" ht="16.5" thickBot="1" x14ac:dyDescent="0.3">
      <c r="A18" s="45" t="s">
        <v>122</v>
      </c>
      <c r="B18" s="27">
        <f>B9-B17</f>
        <v>500</v>
      </c>
      <c r="C18" s="27">
        <f>C9-C17</f>
        <v>9711</v>
      </c>
      <c r="D18" s="27">
        <f>D9-D17</f>
        <v>8264</v>
      </c>
      <c r="E18" s="48">
        <f>E9-E17</f>
        <v>12296</v>
      </c>
    </row>
    <row r="19" spans="1:5" ht="16.5" thickBot="1" x14ac:dyDescent="0.3">
      <c r="A19" s="116" t="s">
        <v>123</v>
      </c>
      <c r="B19" s="119"/>
      <c r="C19" s="102"/>
      <c r="D19" s="102"/>
      <c r="E19" s="118"/>
    </row>
    <row r="20" spans="1:5" ht="16.5" thickBot="1" x14ac:dyDescent="0.3">
      <c r="A20" s="49" t="s">
        <v>124</v>
      </c>
      <c r="B20" s="28">
        <v>0</v>
      </c>
      <c r="C20" s="25">
        <v>24300</v>
      </c>
      <c r="D20" s="6">
        <v>0</v>
      </c>
      <c r="E20" s="46">
        <v>0</v>
      </c>
    </row>
    <row r="21" spans="1:5" ht="16.5" thickBot="1" x14ac:dyDescent="0.3">
      <c r="A21" s="49" t="s">
        <v>125</v>
      </c>
      <c r="B21" s="29">
        <v>0</v>
      </c>
      <c r="C21" s="25">
        <v>0</v>
      </c>
      <c r="D21" s="6">
        <v>0</v>
      </c>
      <c r="E21" s="46">
        <v>0</v>
      </c>
    </row>
    <row r="22" spans="1:5" ht="16.5" thickBot="1" x14ac:dyDescent="0.3">
      <c r="A22" s="49" t="s">
        <v>126</v>
      </c>
      <c r="B22" s="29">
        <v>0</v>
      </c>
      <c r="C22" s="25">
        <v>0</v>
      </c>
      <c r="D22" s="6">
        <v>0</v>
      </c>
      <c r="E22" s="46">
        <v>0</v>
      </c>
    </row>
    <row r="23" spans="1:5" ht="16.5" thickBot="1" x14ac:dyDescent="0.3">
      <c r="A23" s="49" t="s">
        <v>127</v>
      </c>
      <c r="B23" s="29">
        <v>0</v>
      </c>
      <c r="C23" s="25">
        <v>0</v>
      </c>
      <c r="D23" s="6">
        <v>0</v>
      </c>
      <c r="E23" s="46">
        <v>0</v>
      </c>
    </row>
    <row r="24" spans="1:5" ht="16.5" thickBot="1" x14ac:dyDescent="0.3">
      <c r="A24" s="50" t="s">
        <v>128</v>
      </c>
      <c r="B24" s="30">
        <f>B22+B23-B20-B21</f>
        <v>0</v>
      </c>
      <c r="C24" s="42">
        <f t="shared" ref="C24:E24" si="1">C22+C23-C20-C21</f>
        <v>-24300</v>
      </c>
      <c r="D24" s="30">
        <f t="shared" si="1"/>
        <v>0</v>
      </c>
      <c r="E24" s="30">
        <f t="shared" si="1"/>
        <v>0</v>
      </c>
    </row>
    <row r="25" spans="1:5" ht="16.5" thickBot="1" x14ac:dyDescent="0.3">
      <c r="A25" s="116" t="s">
        <v>129</v>
      </c>
      <c r="B25" s="117"/>
      <c r="C25" s="102"/>
      <c r="D25" s="102"/>
      <c r="E25" s="118"/>
    </row>
    <row r="26" spans="1:5" ht="16.5" thickBot="1" x14ac:dyDescent="0.3">
      <c r="A26" s="47" t="s">
        <v>130</v>
      </c>
      <c r="B26" s="27">
        <v>0</v>
      </c>
      <c r="C26" s="6">
        <v>11570</v>
      </c>
      <c r="D26" s="6">
        <v>4000</v>
      </c>
      <c r="E26" s="46">
        <v>0</v>
      </c>
    </row>
    <row r="27" spans="1:5" ht="16.5" thickBot="1" x14ac:dyDescent="0.3">
      <c r="A27" s="47" t="s">
        <v>131</v>
      </c>
      <c r="B27" s="27">
        <v>0</v>
      </c>
      <c r="C27" s="6">
        <v>0</v>
      </c>
      <c r="D27" s="6">
        <v>11570</v>
      </c>
      <c r="E27" s="46">
        <v>4000</v>
      </c>
    </row>
    <row r="28" spans="1:5" ht="16.5" thickBot="1" x14ac:dyDescent="0.3">
      <c r="A28" s="47" t="s">
        <v>132</v>
      </c>
      <c r="B28" s="27">
        <v>0</v>
      </c>
      <c r="C28" s="6">
        <v>0</v>
      </c>
      <c r="D28" s="6">
        <f>БДР!D16</f>
        <v>578.5</v>
      </c>
      <c r="E28" s="46">
        <f>БДР!E16</f>
        <v>200</v>
      </c>
    </row>
    <row r="29" spans="1:5" ht="16.5" thickBot="1" x14ac:dyDescent="0.3">
      <c r="A29" s="45" t="s">
        <v>133</v>
      </c>
      <c r="B29" s="27">
        <f>B26-B27-B28</f>
        <v>0</v>
      </c>
      <c r="C29" s="27">
        <f>C26-C27-C28</f>
        <v>11570</v>
      </c>
      <c r="D29" s="43">
        <f>D26-D27-D28</f>
        <v>-8148.5</v>
      </c>
      <c r="E29" s="51">
        <f>E26-E27-E28</f>
        <v>-4200</v>
      </c>
    </row>
    <row r="30" spans="1:5" ht="16.5" thickBot="1" x14ac:dyDescent="0.3">
      <c r="A30" s="52" t="s">
        <v>134</v>
      </c>
      <c r="B30" s="53">
        <f>B5+B18+B24+B29</f>
        <v>10500</v>
      </c>
      <c r="C30" s="53">
        <f t="shared" ref="C30:D30" si="2">C5+C18+C24+C29</f>
        <v>7481</v>
      </c>
      <c r="D30" s="53">
        <f t="shared" si="2"/>
        <v>7596.5</v>
      </c>
      <c r="E30" s="54">
        <f>E5+E18+E24+E29</f>
        <v>15692.5</v>
      </c>
    </row>
    <row r="33" spans="1:1" ht="15.75" x14ac:dyDescent="0.25">
      <c r="A33" s="41"/>
    </row>
  </sheetData>
  <mergeCells count="6">
    <mergeCell ref="A25:E25"/>
    <mergeCell ref="A19:E19"/>
    <mergeCell ref="A10:E10"/>
    <mergeCell ref="A3:A4"/>
    <mergeCell ref="B3:E3"/>
    <mergeCell ref="A6:E6"/>
  </mergeCells>
  <pageMargins left="0.7" right="0.7" top="0.75" bottom="0.75" header="0.3" footer="0.3"/>
  <pageSetup paperSize="9" scale="95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"/>
  <sheetViews>
    <sheetView tabSelected="1" topLeftCell="A7" workbookViewId="0">
      <selection activeCell="G22" sqref="G22"/>
    </sheetView>
  </sheetViews>
  <sheetFormatPr defaultRowHeight="15" x14ac:dyDescent="0.25"/>
  <cols>
    <col min="1" max="1" width="45.5703125" customWidth="1"/>
    <col min="2" max="2" width="12.28515625" customWidth="1"/>
    <col min="3" max="3" width="11.5703125" customWidth="1"/>
  </cols>
  <sheetData>
    <row r="1" spans="1:3" ht="15.75" x14ac:dyDescent="0.25">
      <c r="A1" s="19" t="s">
        <v>178</v>
      </c>
    </row>
    <row r="2" spans="1:3" ht="15.75" thickBot="1" x14ac:dyDescent="0.3"/>
    <row r="3" spans="1:3" ht="16.5" thickBot="1" x14ac:dyDescent="0.3">
      <c r="A3" s="20" t="s">
        <v>137</v>
      </c>
      <c r="B3" s="20" t="s">
        <v>138</v>
      </c>
      <c r="C3" s="5" t="s">
        <v>139</v>
      </c>
    </row>
    <row r="4" spans="1:3" ht="16.5" thickBot="1" x14ac:dyDescent="0.3">
      <c r="A4" s="107" t="s">
        <v>140</v>
      </c>
      <c r="B4" s="108"/>
      <c r="C4" s="109"/>
    </row>
    <row r="5" spans="1:3" ht="16.5" thickBot="1" x14ac:dyDescent="0.3">
      <c r="A5" s="101" t="s">
        <v>141</v>
      </c>
      <c r="B5" s="102"/>
      <c r="C5" s="103"/>
    </row>
    <row r="6" spans="1:3" ht="16.5" thickBot="1" x14ac:dyDescent="0.3">
      <c r="A6" s="88" t="s">
        <v>142</v>
      </c>
      <c r="B6" s="89">
        <v>10000</v>
      </c>
      <c r="C6" s="67">
        <f>БДДС!E30</f>
        <v>15692.5</v>
      </c>
    </row>
    <row r="7" spans="1:3" ht="16.5" thickBot="1" x14ac:dyDescent="0.3">
      <c r="A7" s="88" t="s">
        <v>143</v>
      </c>
      <c r="B7" s="89">
        <v>9500</v>
      </c>
      <c r="C7" s="67">
        <f>Поступл!F13+Поступл!G15</f>
        <v>28160</v>
      </c>
    </row>
    <row r="8" spans="1:3" ht="16.5" thickBot="1" x14ac:dyDescent="0.3">
      <c r="A8" s="88" t="s">
        <v>144</v>
      </c>
      <c r="B8" s="89">
        <v>3754</v>
      </c>
      <c r="C8" s="67">
        <f>SUM(C9:C10)</f>
        <v>4600</v>
      </c>
    </row>
    <row r="9" spans="1:3" ht="16.5" thickBot="1" x14ac:dyDescent="0.3">
      <c r="A9" s="88" t="s">
        <v>145</v>
      </c>
      <c r="B9" s="90">
        <v>474</v>
      </c>
      <c r="C9" s="67">
        <f>'Пр запас'!E10</f>
        <v>500</v>
      </c>
    </row>
    <row r="10" spans="1:3" ht="16.5" thickBot="1" x14ac:dyDescent="0.3">
      <c r="A10" s="88" t="s">
        <v>146</v>
      </c>
      <c r="B10" s="89">
        <v>3280</v>
      </c>
      <c r="C10" s="67">
        <f>'Пр запас'!E7</f>
        <v>4100</v>
      </c>
    </row>
    <row r="11" spans="1:3" ht="16.5" thickBot="1" x14ac:dyDescent="0.3">
      <c r="A11" s="91" t="s">
        <v>147</v>
      </c>
      <c r="B11" s="92">
        <v>23254</v>
      </c>
      <c r="C11" s="93">
        <f>C6+C7+C8</f>
        <v>48452.5</v>
      </c>
    </row>
    <row r="12" spans="1:3" ht="16.5" thickBot="1" x14ac:dyDescent="0.3">
      <c r="A12" s="110" t="s">
        <v>148</v>
      </c>
      <c r="B12" s="112"/>
      <c r="C12" s="113"/>
    </row>
    <row r="13" spans="1:3" ht="16.5" thickBot="1" x14ac:dyDescent="0.3">
      <c r="A13" s="88" t="s">
        <v>149</v>
      </c>
      <c r="B13" s="89">
        <v>100000</v>
      </c>
      <c r="C13" s="67">
        <f>БДДС!C20+B13</f>
        <v>124300</v>
      </c>
    </row>
    <row r="14" spans="1:3" ht="16.5" thickBot="1" x14ac:dyDescent="0.3">
      <c r="A14" s="88" t="s">
        <v>150</v>
      </c>
      <c r="B14" s="89">
        <v>50000</v>
      </c>
      <c r="C14" s="67">
        <f>B14</f>
        <v>50000</v>
      </c>
    </row>
    <row r="15" spans="1:3" ht="16.5" thickBot="1" x14ac:dyDescent="0.3">
      <c r="A15" s="18" t="s">
        <v>151</v>
      </c>
      <c r="B15" s="1" t="s">
        <v>170</v>
      </c>
      <c r="C15" s="7">
        <f>Накл!F10+Адм!F5+60000</f>
        <v>73400</v>
      </c>
    </row>
    <row r="16" spans="1:3" ht="16.5" thickBot="1" x14ac:dyDescent="0.3">
      <c r="A16" s="56" t="s">
        <v>152</v>
      </c>
      <c r="B16" s="57">
        <v>90000</v>
      </c>
      <c r="C16" s="60">
        <f>C13+C14-C15</f>
        <v>100900</v>
      </c>
    </row>
    <row r="17" spans="1:3" ht="16.5" thickBot="1" x14ac:dyDescent="0.3">
      <c r="A17" s="58" t="s">
        <v>153</v>
      </c>
      <c r="B17" s="59">
        <v>113254</v>
      </c>
      <c r="C17" s="17">
        <f>C11+C16</f>
        <v>149352.5</v>
      </c>
    </row>
    <row r="18" spans="1:3" ht="16.5" thickBot="1" x14ac:dyDescent="0.3">
      <c r="A18" s="107" t="s">
        <v>154</v>
      </c>
      <c r="B18" s="108"/>
      <c r="C18" s="109"/>
    </row>
    <row r="19" spans="1:3" ht="16.5" thickBot="1" x14ac:dyDescent="0.3">
      <c r="A19" s="101" t="s">
        <v>155</v>
      </c>
      <c r="B19" s="102"/>
      <c r="C19" s="103"/>
    </row>
    <row r="20" spans="1:3" ht="16.5" thickBot="1" x14ac:dyDescent="0.3">
      <c r="A20" s="18" t="s">
        <v>156</v>
      </c>
      <c r="B20" s="1" t="s">
        <v>157</v>
      </c>
      <c r="C20" s="7">
        <v>0</v>
      </c>
    </row>
    <row r="21" spans="1:3" ht="16.5" thickBot="1" x14ac:dyDescent="0.3">
      <c r="A21" s="18" t="s">
        <v>158</v>
      </c>
      <c r="B21" s="55">
        <v>2200</v>
      </c>
      <c r="C21" s="7">
        <f>'Оплата мат'!E13-1200</f>
        <v>3437</v>
      </c>
    </row>
    <row r="22" spans="1:3" ht="16.5" thickBot="1" x14ac:dyDescent="0.3">
      <c r="A22" s="18" t="s">
        <v>159</v>
      </c>
      <c r="B22" s="87">
        <v>4000</v>
      </c>
      <c r="C22" s="67">
        <v>2146</v>
      </c>
    </row>
    <row r="23" spans="1:3" ht="16.5" thickBot="1" x14ac:dyDescent="0.3">
      <c r="A23" s="56" t="s">
        <v>160</v>
      </c>
      <c r="B23" s="57">
        <v>6200</v>
      </c>
      <c r="C23" s="60">
        <f>SUM(C20:C22)</f>
        <v>5583</v>
      </c>
    </row>
    <row r="24" spans="1:3" ht="16.5" thickBot="1" x14ac:dyDescent="0.3">
      <c r="A24" s="101" t="s">
        <v>161</v>
      </c>
      <c r="B24" s="102"/>
      <c r="C24" s="103"/>
    </row>
    <row r="25" spans="1:3" ht="16.5" thickBot="1" x14ac:dyDescent="0.3">
      <c r="A25" s="18" t="s">
        <v>162</v>
      </c>
      <c r="B25" s="1" t="s">
        <v>157</v>
      </c>
      <c r="C25" s="7">
        <v>0</v>
      </c>
    </row>
    <row r="26" spans="1:3" ht="16.5" thickBot="1" x14ac:dyDescent="0.3">
      <c r="A26" s="18" t="s">
        <v>163</v>
      </c>
      <c r="B26" s="1" t="s">
        <v>157</v>
      </c>
      <c r="C26" s="7">
        <v>0</v>
      </c>
    </row>
    <row r="27" spans="1:3" ht="16.5" thickBot="1" x14ac:dyDescent="0.3">
      <c r="A27" s="56" t="s">
        <v>164</v>
      </c>
      <c r="B27" s="1" t="s">
        <v>157</v>
      </c>
      <c r="C27" s="7">
        <v>0</v>
      </c>
    </row>
    <row r="28" spans="1:3" ht="16.5" thickBot="1" x14ac:dyDescent="0.3">
      <c r="A28" s="101" t="s">
        <v>165</v>
      </c>
      <c r="B28" s="102"/>
      <c r="C28" s="103"/>
    </row>
    <row r="29" spans="1:3" ht="16.5" thickBot="1" x14ac:dyDescent="0.3">
      <c r="A29" s="18" t="s">
        <v>166</v>
      </c>
      <c r="B29" s="55">
        <v>70000</v>
      </c>
      <c r="C29" s="14">
        <f>B29</f>
        <v>70000</v>
      </c>
    </row>
    <row r="30" spans="1:3" ht="16.5" thickBot="1" x14ac:dyDescent="0.3">
      <c r="A30" s="18" t="s">
        <v>167</v>
      </c>
      <c r="B30" s="55">
        <v>37054</v>
      </c>
      <c r="C30" s="7">
        <f>37054+БДР!F19</f>
        <v>73770.399999999994</v>
      </c>
    </row>
    <row r="31" spans="1:3" ht="16.5" thickBot="1" x14ac:dyDescent="0.3">
      <c r="A31" s="56" t="s">
        <v>168</v>
      </c>
      <c r="B31" s="57">
        <v>107054</v>
      </c>
      <c r="C31" s="61">
        <f>SUM(C29:C30)</f>
        <v>143770.4</v>
      </c>
    </row>
    <row r="32" spans="1:3" ht="16.5" thickBot="1" x14ac:dyDescent="0.3">
      <c r="A32" s="58" t="s">
        <v>169</v>
      </c>
      <c r="B32" s="59">
        <v>113254</v>
      </c>
      <c r="C32" s="62">
        <f>C23+C27+C31</f>
        <v>149353.4</v>
      </c>
    </row>
    <row r="34" spans="3:3" x14ac:dyDescent="0.25">
      <c r="C34" s="84"/>
    </row>
  </sheetData>
  <mergeCells count="7">
    <mergeCell ref="A28:C28"/>
    <mergeCell ref="A4:C4"/>
    <mergeCell ref="A5:C5"/>
    <mergeCell ref="A12:C12"/>
    <mergeCell ref="A18:C18"/>
    <mergeCell ref="A19:C19"/>
    <mergeCell ref="A24:C2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workbookViewId="0">
      <selection activeCell="C17" sqref="C17"/>
    </sheetView>
  </sheetViews>
  <sheetFormatPr defaultRowHeight="15" x14ac:dyDescent="0.25"/>
  <cols>
    <col min="1" max="1" width="15.7109375" bestFit="1" customWidth="1"/>
    <col min="2" max="2" width="33.7109375" customWidth="1"/>
    <col min="3" max="3" width="10.7109375" customWidth="1"/>
    <col min="4" max="4" width="12.140625" customWidth="1"/>
    <col min="5" max="5" width="10.5703125" customWidth="1"/>
    <col min="6" max="6" width="13.28515625" customWidth="1"/>
    <col min="7" max="7" width="10.7109375" bestFit="1" customWidth="1"/>
    <col min="9" max="9" width="10.5703125" bestFit="1" customWidth="1"/>
  </cols>
  <sheetData>
    <row r="1" spans="1:9" ht="15.75" x14ac:dyDescent="0.25">
      <c r="A1" s="97" t="s">
        <v>13</v>
      </c>
      <c r="B1" s="97"/>
      <c r="C1" s="97"/>
      <c r="D1" s="97"/>
    </row>
    <row r="2" spans="1:9" ht="15.75" thickBot="1" x14ac:dyDescent="0.3"/>
    <row r="3" spans="1:9" ht="48" customHeight="1" x14ac:dyDescent="0.25">
      <c r="B3" s="32" t="s">
        <v>14</v>
      </c>
      <c r="C3" s="98" t="s">
        <v>15</v>
      </c>
      <c r="D3" s="98"/>
      <c r="E3" s="98"/>
      <c r="F3" s="98"/>
      <c r="G3" s="33" t="s">
        <v>16</v>
      </c>
    </row>
    <row r="4" spans="1:9" ht="15.75" x14ac:dyDescent="0.25">
      <c r="B4" s="34"/>
      <c r="C4" s="31">
        <v>1</v>
      </c>
      <c r="D4" s="31">
        <v>2</v>
      </c>
      <c r="E4" s="31">
        <v>3</v>
      </c>
      <c r="F4" s="31">
        <v>4</v>
      </c>
      <c r="G4" s="35"/>
    </row>
    <row r="5" spans="1:9" ht="47.25" x14ac:dyDescent="0.25">
      <c r="B5" s="36" t="s">
        <v>0</v>
      </c>
      <c r="C5" s="13">
        <v>9500</v>
      </c>
      <c r="D5" s="13">
        <f>C13</f>
        <v>19200</v>
      </c>
      <c r="E5" s="13">
        <f t="shared" ref="E5:F5" si="0">D13</f>
        <v>18080</v>
      </c>
      <c r="F5" s="13">
        <f t="shared" si="0"/>
        <v>24000</v>
      </c>
      <c r="G5" s="37"/>
    </row>
    <row r="6" spans="1:9" ht="31.5" x14ac:dyDescent="0.25">
      <c r="B6" s="36" t="s">
        <v>1</v>
      </c>
      <c r="C6" s="13">
        <v>9500</v>
      </c>
      <c r="D6" s="13"/>
      <c r="E6" s="13"/>
      <c r="F6" s="13"/>
      <c r="G6" s="37">
        <f>SUM(C6:F6)</f>
        <v>9500</v>
      </c>
    </row>
    <row r="7" spans="1:9" ht="15.75" x14ac:dyDescent="0.25">
      <c r="B7" s="94" t="s">
        <v>19</v>
      </c>
      <c r="C7" s="95"/>
      <c r="D7" s="95"/>
      <c r="E7" s="95"/>
      <c r="F7" s="95"/>
      <c r="G7" s="96"/>
    </row>
    <row r="8" spans="1:9" ht="15.75" x14ac:dyDescent="0.25">
      <c r="B8" s="36" t="s">
        <v>18</v>
      </c>
      <c r="C8" s="13">
        <f>Продажи!B$6*70%</f>
        <v>44800</v>
      </c>
      <c r="D8" s="13">
        <f>Продажи!B$6*28%</f>
        <v>17920</v>
      </c>
      <c r="E8" s="13">
        <v>0</v>
      </c>
      <c r="F8" s="13">
        <v>0</v>
      </c>
      <c r="G8" s="37">
        <f>SUM(C8:F8)</f>
        <v>62720</v>
      </c>
    </row>
    <row r="9" spans="1:9" ht="15.75" x14ac:dyDescent="0.25">
      <c r="B9" s="36" t="s">
        <v>2</v>
      </c>
      <c r="C9" s="13">
        <v>0</v>
      </c>
      <c r="D9" s="13">
        <f>Продажи!C$6*70%</f>
        <v>39200</v>
      </c>
      <c r="E9" s="13">
        <f>Продажи!C$6*28%</f>
        <v>15680.000000000002</v>
      </c>
      <c r="F9" s="13">
        <v>0</v>
      </c>
      <c r="G9" s="37">
        <f>SUM(C9:F9)</f>
        <v>54880</v>
      </c>
    </row>
    <row r="10" spans="1:9" ht="15.75" x14ac:dyDescent="0.25">
      <c r="B10" s="36" t="s">
        <v>3</v>
      </c>
      <c r="C10" s="13">
        <v>0</v>
      </c>
      <c r="D10" s="13">
        <v>0</v>
      </c>
      <c r="E10" s="13">
        <f>Продажи!D$6*70%</f>
        <v>50400</v>
      </c>
      <c r="F10" s="13">
        <f>Продажи!D$6*28%</f>
        <v>20160.000000000004</v>
      </c>
      <c r="G10" s="37">
        <f>SUM(C10:F10)</f>
        <v>70560</v>
      </c>
    </row>
    <row r="11" spans="1:9" ht="15.75" x14ac:dyDescent="0.25">
      <c r="B11" s="36" t="s">
        <v>4</v>
      </c>
      <c r="C11" s="13">
        <v>0</v>
      </c>
      <c r="D11" s="13">
        <v>0</v>
      </c>
      <c r="E11" s="13">
        <v>0</v>
      </c>
      <c r="F11" s="13">
        <f>Продажи!E$6*70%</f>
        <v>44800</v>
      </c>
      <c r="G11" s="37">
        <f t="shared" ref="G11" si="1">SUM(C11:F11)</f>
        <v>44800</v>
      </c>
    </row>
    <row r="12" spans="1:9" ht="15.75" x14ac:dyDescent="0.25">
      <c r="B12" s="36" t="s">
        <v>5</v>
      </c>
      <c r="C12" s="13">
        <f>SUM(C8:C11)+C6</f>
        <v>54300</v>
      </c>
      <c r="D12" s="13">
        <f>SUM(D8:D11)+D6</f>
        <v>57120</v>
      </c>
      <c r="E12" s="13">
        <f>SUM(E8:E11)+E6</f>
        <v>66080</v>
      </c>
      <c r="F12" s="13">
        <f>SUM(F8:F11)+F6</f>
        <v>64960</v>
      </c>
      <c r="G12" s="37">
        <f>SUM(C12:F12)</f>
        <v>242460</v>
      </c>
      <c r="I12" s="63"/>
    </row>
    <row r="13" spans="1:9" ht="32.25" thickBot="1" x14ac:dyDescent="0.3">
      <c r="B13" s="38" t="s">
        <v>6</v>
      </c>
      <c r="C13" s="39">
        <f>C5-C12+C14</f>
        <v>19200</v>
      </c>
      <c r="D13" s="39">
        <f>D5-D12+D14</f>
        <v>18080</v>
      </c>
      <c r="E13" s="39">
        <f>E5-E12+E14</f>
        <v>24000</v>
      </c>
      <c r="F13" s="39">
        <f>F5-F12+F14</f>
        <v>23040</v>
      </c>
      <c r="G13" s="40"/>
    </row>
    <row r="14" spans="1:9" ht="15.75" x14ac:dyDescent="0.25">
      <c r="B14" s="75" t="s">
        <v>20</v>
      </c>
      <c r="C14" s="76">
        <f>Продажи!B6</f>
        <v>64000</v>
      </c>
      <c r="D14" s="76">
        <f>Продажи!C6</f>
        <v>56000</v>
      </c>
      <c r="E14" s="76">
        <f>Продажи!D6</f>
        <v>72000</v>
      </c>
      <c r="F14" s="76">
        <f>Продажи!E6</f>
        <v>64000</v>
      </c>
      <c r="G14" s="77"/>
    </row>
    <row r="15" spans="1:9" ht="15.75" x14ac:dyDescent="0.25">
      <c r="B15" s="78" t="s">
        <v>17</v>
      </c>
      <c r="C15" s="76">
        <f>Продажи!B6*2%</f>
        <v>1280</v>
      </c>
      <c r="D15" s="76">
        <f>Продажи!C6*2%</f>
        <v>1120</v>
      </c>
      <c r="E15" s="76">
        <f>Продажи!D6*2%</f>
        <v>1440</v>
      </c>
      <c r="F15" s="76">
        <f>Продажи!E6*2%</f>
        <v>1280</v>
      </c>
      <c r="G15" s="76">
        <f>SUM(C15:F15)</f>
        <v>5120</v>
      </c>
    </row>
    <row r="16" spans="1:9" x14ac:dyDescent="0.25">
      <c r="B16" s="77"/>
      <c r="C16" s="79">
        <f>C14-C15</f>
        <v>62720</v>
      </c>
      <c r="D16" s="79">
        <f t="shared" ref="D16:F16" si="2">D14-D15</f>
        <v>54880</v>
      </c>
      <c r="E16" s="79">
        <f t="shared" si="2"/>
        <v>70560</v>
      </c>
      <c r="F16" s="79">
        <f t="shared" si="2"/>
        <v>62720</v>
      </c>
      <c r="G16" s="77"/>
    </row>
    <row r="19" spans="3:3" x14ac:dyDescent="0.25">
      <c r="C19" s="63"/>
    </row>
  </sheetData>
  <mergeCells count="3">
    <mergeCell ref="B7:G7"/>
    <mergeCell ref="A1:D1"/>
    <mergeCell ref="C3:F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workbookViewId="0">
      <selection activeCell="E8" sqref="E8"/>
    </sheetView>
  </sheetViews>
  <sheetFormatPr defaultRowHeight="15" x14ac:dyDescent="0.25"/>
  <cols>
    <col min="1" max="1" width="43.140625" customWidth="1"/>
    <col min="6" max="6" width="8.42578125" bestFit="1" customWidth="1"/>
  </cols>
  <sheetData>
    <row r="1" spans="1:6" ht="15.75" x14ac:dyDescent="0.25">
      <c r="A1" s="104" t="s">
        <v>25</v>
      </c>
      <c r="B1" s="104"/>
      <c r="C1" s="104"/>
      <c r="D1" s="104"/>
    </row>
    <row r="2" spans="1:6" ht="15.75" thickBot="1" x14ac:dyDescent="0.3"/>
    <row r="3" spans="1:6" ht="16.5" thickBot="1" x14ac:dyDescent="0.3">
      <c r="A3" s="99" t="s">
        <v>14</v>
      </c>
      <c r="B3" s="101" t="s">
        <v>15</v>
      </c>
      <c r="C3" s="102"/>
      <c r="D3" s="102"/>
      <c r="E3" s="103"/>
      <c r="F3" s="99" t="s">
        <v>16</v>
      </c>
    </row>
    <row r="4" spans="1:6" ht="16.5" thickBot="1" x14ac:dyDescent="0.3">
      <c r="A4" s="100"/>
      <c r="B4" s="1">
        <v>1</v>
      </c>
      <c r="C4" s="1">
        <v>2</v>
      </c>
      <c r="D4" s="1">
        <v>3</v>
      </c>
      <c r="E4" s="1">
        <v>4</v>
      </c>
      <c r="F4" s="100"/>
    </row>
    <row r="5" spans="1:6" ht="16.5" thickBot="1" x14ac:dyDescent="0.3">
      <c r="A5" s="2" t="s">
        <v>21</v>
      </c>
      <c r="B5" s="1">
        <v>800</v>
      </c>
      <c r="C5" s="1">
        <v>700</v>
      </c>
      <c r="D5" s="1">
        <v>900</v>
      </c>
      <c r="E5" s="1">
        <v>800</v>
      </c>
      <c r="F5" s="14">
        <v>3200</v>
      </c>
    </row>
    <row r="6" spans="1:6" ht="32.25" thickBot="1" x14ac:dyDescent="0.3">
      <c r="A6" s="2" t="s">
        <v>22</v>
      </c>
      <c r="B6" s="1">
        <f>B5*0.1</f>
        <v>80</v>
      </c>
      <c r="C6" s="1">
        <f t="shared" ref="C6:D6" si="0">C5*0.1</f>
        <v>70</v>
      </c>
      <c r="D6" s="1">
        <f t="shared" si="0"/>
        <v>90</v>
      </c>
      <c r="E6" s="1">
        <v>100</v>
      </c>
      <c r="F6" s="3"/>
    </row>
    <row r="7" spans="1:6" ht="32.25" thickBot="1" x14ac:dyDescent="0.3">
      <c r="A7" s="2" t="s">
        <v>23</v>
      </c>
      <c r="B7" s="1">
        <v>80</v>
      </c>
      <c r="C7" s="1">
        <f>B6</f>
        <v>80</v>
      </c>
      <c r="D7" s="1">
        <f>C6</f>
        <v>70</v>
      </c>
      <c r="E7" s="1">
        <f>D6</f>
        <v>90</v>
      </c>
      <c r="F7" s="3"/>
    </row>
    <row r="8" spans="1:6" ht="32.25" thickBot="1" x14ac:dyDescent="0.3">
      <c r="A8" s="2" t="s">
        <v>24</v>
      </c>
      <c r="B8" s="1">
        <f>B6-B7+B5</f>
        <v>800</v>
      </c>
      <c r="C8" s="1">
        <f>C6-C7+C5</f>
        <v>690</v>
      </c>
      <c r="D8" s="1">
        <f>D6-D7+D5</f>
        <v>920</v>
      </c>
      <c r="E8" s="1">
        <f>E6-E7+E5</f>
        <v>810</v>
      </c>
      <c r="F8" s="14">
        <f>SUM(B8:E8)</f>
        <v>3220</v>
      </c>
    </row>
    <row r="11" spans="1:6" ht="15.75" x14ac:dyDescent="0.25">
      <c r="A11" s="82" t="s">
        <v>179</v>
      </c>
      <c r="B11" s="83"/>
    </row>
    <row r="12" spans="1:6" ht="15.75" x14ac:dyDescent="0.25">
      <c r="A12" s="82" t="s">
        <v>180</v>
      </c>
      <c r="B12" s="85">
        <f>Баланс!B10</f>
        <v>3280</v>
      </c>
    </row>
    <row r="13" spans="1:6" ht="15.75" x14ac:dyDescent="0.25">
      <c r="A13" s="82" t="s">
        <v>181</v>
      </c>
      <c r="B13" s="83">
        <v>41</v>
      </c>
    </row>
    <row r="14" spans="1:6" ht="15.75" x14ac:dyDescent="0.25">
      <c r="A14" s="82" t="s">
        <v>182</v>
      </c>
      <c r="B14" s="86">
        <f>B12/B13</f>
        <v>80</v>
      </c>
    </row>
  </sheetData>
  <mergeCells count="4">
    <mergeCell ref="A3:A4"/>
    <mergeCell ref="B3:E3"/>
    <mergeCell ref="F3:F4"/>
    <mergeCell ref="A1:D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workbookViewId="0">
      <selection activeCell="B12" sqref="B12"/>
    </sheetView>
  </sheetViews>
  <sheetFormatPr defaultRowHeight="15" x14ac:dyDescent="0.25"/>
  <cols>
    <col min="1" max="1" width="55.5703125" customWidth="1"/>
    <col min="6" max="6" width="9.5703125" bestFit="1" customWidth="1"/>
  </cols>
  <sheetData>
    <row r="1" spans="1:6" ht="15.75" x14ac:dyDescent="0.25">
      <c r="A1" s="15" t="s">
        <v>34</v>
      </c>
    </row>
    <row r="2" spans="1:6" ht="15.75" thickBot="1" x14ac:dyDescent="0.3"/>
    <row r="3" spans="1:6" ht="16.5" thickBot="1" x14ac:dyDescent="0.3">
      <c r="A3" s="99" t="s">
        <v>14</v>
      </c>
      <c r="B3" s="101" t="s">
        <v>15</v>
      </c>
      <c r="C3" s="102"/>
      <c r="D3" s="102"/>
      <c r="E3" s="103"/>
      <c r="F3" s="99" t="s">
        <v>16</v>
      </c>
    </row>
    <row r="4" spans="1:6" ht="16.5" thickBot="1" x14ac:dyDescent="0.3">
      <c r="A4" s="100"/>
      <c r="B4" s="1">
        <v>1</v>
      </c>
      <c r="C4" s="1">
        <v>2</v>
      </c>
      <c r="D4" s="1">
        <v>3</v>
      </c>
      <c r="E4" s="1">
        <v>4</v>
      </c>
      <c r="F4" s="100"/>
    </row>
    <row r="5" spans="1:6" ht="16.5" thickBot="1" x14ac:dyDescent="0.3">
      <c r="A5" s="2" t="s">
        <v>26</v>
      </c>
      <c r="B5" s="6">
        <f>ГП!B8</f>
        <v>800</v>
      </c>
      <c r="C5" s="6">
        <f>ГП!C8</f>
        <v>690</v>
      </c>
      <c r="D5" s="6">
        <f>ГП!D8</f>
        <v>920</v>
      </c>
      <c r="E5" s="6">
        <f>ГП!E8</f>
        <v>810</v>
      </c>
      <c r="F5" s="7">
        <f>SUM(B5:E5)</f>
        <v>3220</v>
      </c>
    </row>
    <row r="6" spans="1:6" ht="16.5" thickBot="1" x14ac:dyDescent="0.3">
      <c r="A6" s="2" t="s">
        <v>27</v>
      </c>
      <c r="B6" s="6">
        <v>3</v>
      </c>
      <c r="C6" s="6">
        <v>3</v>
      </c>
      <c r="D6" s="6">
        <v>3</v>
      </c>
      <c r="E6" s="6">
        <v>3</v>
      </c>
      <c r="F6" s="7"/>
    </row>
    <row r="7" spans="1:6" ht="16.5" thickBot="1" x14ac:dyDescent="0.3">
      <c r="A7" s="2" t="s">
        <v>28</v>
      </c>
      <c r="B7" s="6">
        <f>B5*B6</f>
        <v>2400</v>
      </c>
      <c r="C7" s="6">
        <f>C5*C6</f>
        <v>2070</v>
      </c>
      <c r="D7" s="6">
        <f>D5*D6</f>
        <v>2760</v>
      </c>
      <c r="E7" s="6">
        <f>E5*E6</f>
        <v>2430</v>
      </c>
      <c r="F7" s="7">
        <f>SUM(B7:E7)</f>
        <v>9660</v>
      </c>
    </row>
    <row r="8" spans="1:6" ht="16.5" thickBot="1" x14ac:dyDescent="0.3">
      <c r="A8" s="2" t="s">
        <v>29</v>
      </c>
      <c r="B8" s="6">
        <f>C7*0.1</f>
        <v>207</v>
      </c>
      <c r="C8" s="6">
        <f t="shared" ref="C8:D8" si="0">D7*0.1</f>
        <v>276</v>
      </c>
      <c r="D8" s="6">
        <f t="shared" si="0"/>
        <v>243</v>
      </c>
      <c r="E8" s="6">
        <v>250</v>
      </c>
      <c r="F8" s="7"/>
    </row>
    <row r="9" spans="1:6" ht="16.5" thickBot="1" x14ac:dyDescent="0.3">
      <c r="A9" s="2" t="s">
        <v>30</v>
      </c>
      <c r="B9" s="6">
        <f>474/2</f>
        <v>237</v>
      </c>
      <c r="C9" s="6">
        <f>B8</f>
        <v>207</v>
      </c>
      <c r="D9" s="6">
        <f t="shared" ref="D9:E9" si="1">C8</f>
        <v>276</v>
      </c>
      <c r="E9" s="6">
        <f t="shared" si="1"/>
        <v>243</v>
      </c>
      <c r="F9" s="7"/>
    </row>
    <row r="10" spans="1:6" ht="16.5" thickBot="1" x14ac:dyDescent="0.3">
      <c r="A10" s="2" t="s">
        <v>31</v>
      </c>
      <c r="B10" s="6">
        <f>B8-B9+B7</f>
        <v>2370</v>
      </c>
      <c r="C10" s="6">
        <f>C8-C9+C7</f>
        <v>2139</v>
      </c>
      <c r="D10" s="6">
        <f t="shared" ref="D10:E10" si="2">D8-D9+D7</f>
        <v>2727</v>
      </c>
      <c r="E10" s="6">
        <f t="shared" si="2"/>
        <v>2437</v>
      </c>
      <c r="F10" s="7">
        <f>SUM(B10:E10)</f>
        <v>9673</v>
      </c>
    </row>
    <row r="11" spans="1:6" ht="16.5" thickBot="1" x14ac:dyDescent="0.3">
      <c r="A11" s="2" t="s">
        <v>32</v>
      </c>
      <c r="B11" s="6">
        <v>2</v>
      </c>
      <c r="C11" s="6">
        <v>2</v>
      </c>
      <c r="D11" s="6">
        <v>2</v>
      </c>
      <c r="E11" s="6">
        <v>2</v>
      </c>
      <c r="F11" s="7"/>
    </row>
    <row r="12" spans="1:6" ht="16.5" thickBot="1" x14ac:dyDescent="0.3">
      <c r="A12" s="2" t="s">
        <v>33</v>
      </c>
      <c r="B12" s="6">
        <f>B11*B10</f>
        <v>4740</v>
      </c>
      <c r="C12" s="6">
        <f>C11*C10</f>
        <v>4278</v>
      </c>
      <c r="D12" s="6">
        <f t="shared" ref="D12:E12" si="3">D11*D10</f>
        <v>5454</v>
      </c>
      <c r="E12" s="6">
        <f t="shared" si="3"/>
        <v>4874</v>
      </c>
      <c r="F12" s="7">
        <f>SUM(B12:E12)</f>
        <v>19346</v>
      </c>
    </row>
  </sheetData>
  <mergeCells count="3">
    <mergeCell ref="A3:A4"/>
    <mergeCell ref="B3:E3"/>
    <mergeCell ref="F3:F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workbookViewId="0">
      <selection activeCell="E14" sqref="E14"/>
    </sheetView>
  </sheetViews>
  <sheetFormatPr defaultRowHeight="15" x14ac:dyDescent="0.25"/>
  <cols>
    <col min="1" max="1" width="59.5703125" customWidth="1"/>
    <col min="2" max="2" width="9.5703125" customWidth="1"/>
    <col min="3" max="3" width="10.140625" customWidth="1"/>
    <col min="6" max="6" width="9.5703125" bestFit="1" customWidth="1"/>
  </cols>
  <sheetData>
    <row r="1" spans="1:6" ht="15.75" x14ac:dyDescent="0.25">
      <c r="A1" s="15" t="s">
        <v>44</v>
      </c>
    </row>
    <row r="2" spans="1:6" ht="15.75" thickBot="1" x14ac:dyDescent="0.3"/>
    <row r="3" spans="1:6" ht="16.5" thickBot="1" x14ac:dyDescent="0.3">
      <c r="A3" s="105" t="s">
        <v>14</v>
      </c>
      <c r="B3" s="107" t="s">
        <v>15</v>
      </c>
      <c r="C3" s="108"/>
      <c r="D3" s="108"/>
      <c r="E3" s="109"/>
      <c r="F3" s="105" t="s">
        <v>16</v>
      </c>
    </row>
    <row r="4" spans="1:6" ht="16.5" thickBot="1" x14ac:dyDescent="0.3">
      <c r="A4" s="106"/>
      <c r="B4" s="16">
        <v>1</v>
      </c>
      <c r="C4" s="16">
        <v>2</v>
      </c>
      <c r="D4" s="16">
        <v>3</v>
      </c>
      <c r="E4" s="16">
        <v>4</v>
      </c>
      <c r="F4" s="106"/>
    </row>
    <row r="5" spans="1:6" ht="16.5" thickBot="1" x14ac:dyDescent="0.3">
      <c r="A5" s="2" t="s">
        <v>35</v>
      </c>
      <c r="B5" s="6">
        <v>2200</v>
      </c>
      <c r="C5" s="6">
        <f>B13</f>
        <v>4570</v>
      </c>
      <c r="D5" s="6">
        <f t="shared" ref="D5:E5" si="0">C13</f>
        <v>4339</v>
      </c>
      <c r="E5" s="6">
        <f t="shared" si="0"/>
        <v>4927</v>
      </c>
      <c r="F5" s="7"/>
    </row>
    <row r="6" spans="1:6" ht="16.5" thickBot="1" x14ac:dyDescent="0.3">
      <c r="A6" s="2" t="s">
        <v>36</v>
      </c>
      <c r="B6" s="6">
        <f>'Мат затраты'!B12</f>
        <v>4740</v>
      </c>
      <c r="C6" s="6">
        <f>'Мат затраты'!C12</f>
        <v>4278</v>
      </c>
      <c r="D6" s="6">
        <f>'Мат затраты'!D12</f>
        <v>5454</v>
      </c>
      <c r="E6" s="6">
        <f>'Мат затраты'!E12</f>
        <v>4874</v>
      </c>
      <c r="F6" s="7">
        <f>SUM(B6:E6)</f>
        <v>19346</v>
      </c>
    </row>
    <row r="7" spans="1:6" ht="16.5" thickBot="1" x14ac:dyDescent="0.3">
      <c r="A7" s="101" t="s">
        <v>37</v>
      </c>
      <c r="B7" s="102"/>
      <c r="C7" s="102"/>
      <c r="D7" s="102"/>
      <c r="E7" s="102"/>
      <c r="F7" s="103"/>
    </row>
    <row r="8" spans="1:6" ht="16.5" thickBot="1" x14ac:dyDescent="0.3">
      <c r="A8" s="2" t="s">
        <v>38</v>
      </c>
      <c r="B8" s="6">
        <f>B$6*0.5</f>
        <v>2370</v>
      </c>
      <c r="C8" s="6">
        <f>B8</f>
        <v>2370</v>
      </c>
      <c r="D8" s="6">
        <v>0</v>
      </c>
      <c r="E8" s="6">
        <v>0</v>
      </c>
      <c r="F8" s="7">
        <f>SUM(B8:E8)</f>
        <v>4740</v>
      </c>
    </row>
    <row r="9" spans="1:6" ht="16.5" thickBot="1" x14ac:dyDescent="0.3">
      <c r="A9" s="2" t="s">
        <v>39</v>
      </c>
      <c r="B9" s="6">
        <v>0</v>
      </c>
      <c r="C9" s="6">
        <f>C$6*0.5</f>
        <v>2139</v>
      </c>
      <c r="D9" s="6">
        <f>C9</f>
        <v>2139</v>
      </c>
      <c r="E9" s="6">
        <v>0</v>
      </c>
      <c r="F9" s="7">
        <f t="shared" ref="F9:F11" si="1">SUM(B9:E9)</f>
        <v>4278</v>
      </c>
    </row>
    <row r="10" spans="1:6" ht="16.5" thickBot="1" x14ac:dyDescent="0.3">
      <c r="A10" s="2" t="s">
        <v>40</v>
      </c>
      <c r="B10" s="6">
        <v>0</v>
      </c>
      <c r="C10" s="6">
        <v>0</v>
      </c>
      <c r="D10" s="6">
        <f>D$6*0.5</f>
        <v>2727</v>
      </c>
      <c r="E10" s="6">
        <f>D10</f>
        <v>2727</v>
      </c>
      <c r="F10" s="7">
        <f t="shared" si="1"/>
        <v>5454</v>
      </c>
    </row>
    <row r="11" spans="1:6" ht="16.5" thickBot="1" x14ac:dyDescent="0.3">
      <c r="A11" s="2" t="s">
        <v>41</v>
      </c>
      <c r="B11" s="6">
        <v>0</v>
      </c>
      <c r="C11" s="6">
        <v>0</v>
      </c>
      <c r="D11" s="6">
        <v>0</v>
      </c>
      <c r="E11" s="6">
        <f>E$6*0.5</f>
        <v>2437</v>
      </c>
      <c r="F11" s="7">
        <f t="shared" si="1"/>
        <v>2437</v>
      </c>
    </row>
    <row r="12" spans="1:6" ht="16.5" thickBot="1" x14ac:dyDescent="0.3">
      <c r="A12" s="2" t="s">
        <v>42</v>
      </c>
      <c r="B12" s="6">
        <f>SUM(B8:B11)</f>
        <v>2370</v>
      </c>
      <c r="C12" s="6">
        <f>SUM(C8:C11)</f>
        <v>4509</v>
      </c>
      <c r="D12" s="6">
        <f>SUM(D8:D11)</f>
        <v>4866</v>
      </c>
      <c r="E12" s="6">
        <f>SUM(E8:E11)</f>
        <v>5164</v>
      </c>
      <c r="F12" s="7">
        <f>SUM(B12:E12)</f>
        <v>16909</v>
      </c>
    </row>
    <row r="13" spans="1:6" ht="16.5" thickBot="1" x14ac:dyDescent="0.3">
      <c r="A13" s="2" t="s">
        <v>43</v>
      </c>
      <c r="B13" s="6">
        <f>B5+B6-B12</f>
        <v>4570</v>
      </c>
      <c r="C13" s="6">
        <f>C5+C6-C12</f>
        <v>4339</v>
      </c>
      <c r="D13" s="6">
        <f>D5+D6-D12</f>
        <v>4927</v>
      </c>
      <c r="E13" s="6">
        <f>E5+E6-E12</f>
        <v>4637</v>
      </c>
      <c r="F13" s="17"/>
    </row>
    <row r="15" spans="1:6" ht="15.75" x14ac:dyDescent="0.25">
      <c r="A15" s="41"/>
      <c r="C15" s="69"/>
    </row>
    <row r="16" spans="1:6" ht="15.75" x14ac:dyDescent="0.25">
      <c r="A16" s="41"/>
    </row>
  </sheetData>
  <mergeCells count="4">
    <mergeCell ref="A3:A4"/>
    <mergeCell ref="B3:E3"/>
    <mergeCell ref="F3:F4"/>
    <mergeCell ref="A7:F7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workbookViewId="0">
      <selection activeCell="C7" sqref="C7"/>
    </sheetView>
  </sheetViews>
  <sheetFormatPr defaultRowHeight="15" x14ac:dyDescent="0.25"/>
  <cols>
    <col min="1" max="1" width="44.140625" customWidth="1"/>
    <col min="2" max="5" width="9.5703125" bestFit="1" customWidth="1"/>
    <col min="6" max="6" width="11.28515625" bestFit="1" customWidth="1"/>
  </cols>
  <sheetData>
    <row r="1" spans="1:6" ht="15.75" x14ac:dyDescent="0.25">
      <c r="A1" s="15" t="s">
        <v>50</v>
      </c>
    </row>
    <row r="2" spans="1:6" ht="15.75" thickBot="1" x14ac:dyDescent="0.3"/>
    <row r="3" spans="1:6" ht="16.5" thickBot="1" x14ac:dyDescent="0.3">
      <c r="A3" s="99" t="s">
        <v>14</v>
      </c>
      <c r="B3" s="101" t="s">
        <v>15</v>
      </c>
      <c r="C3" s="102"/>
      <c r="D3" s="102"/>
      <c r="E3" s="103"/>
      <c r="F3" s="99" t="s">
        <v>16</v>
      </c>
    </row>
    <row r="4" spans="1:6" ht="16.5" thickBot="1" x14ac:dyDescent="0.3">
      <c r="A4" s="100"/>
      <c r="B4" s="1">
        <v>1</v>
      </c>
      <c r="C4" s="1">
        <v>2</v>
      </c>
      <c r="D4" s="1">
        <v>3</v>
      </c>
      <c r="E4" s="1">
        <v>4</v>
      </c>
      <c r="F4" s="100"/>
    </row>
    <row r="5" spans="1:6" ht="16.5" thickBot="1" x14ac:dyDescent="0.3">
      <c r="A5" s="2" t="s">
        <v>26</v>
      </c>
      <c r="B5" s="6">
        <f>ГП!B8</f>
        <v>800</v>
      </c>
      <c r="C5" s="6">
        <f>ГП!C8</f>
        <v>690</v>
      </c>
      <c r="D5" s="6">
        <f>ГП!D8</f>
        <v>920</v>
      </c>
      <c r="E5" s="6">
        <f>ГП!E8</f>
        <v>810</v>
      </c>
      <c r="F5" s="7">
        <f>SUM(B5:E5)</f>
        <v>3220</v>
      </c>
    </row>
    <row r="6" spans="1:6" ht="32.25" thickBot="1" x14ac:dyDescent="0.3">
      <c r="A6" s="2" t="s">
        <v>45</v>
      </c>
      <c r="B6" s="6">
        <v>5</v>
      </c>
      <c r="C6" s="6">
        <v>5</v>
      </c>
      <c r="D6" s="6">
        <v>5</v>
      </c>
      <c r="E6" s="6">
        <v>5</v>
      </c>
      <c r="F6" s="7"/>
    </row>
    <row r="7" spans="1:6" ht="16.5" thickBot="1" x14ac:dyDescent="0.3">
      <c r="A7" s="2" t="s">
        <v>46</v>
      </c>
      <c r="B7" s="6">
        <f>B5*B6</f>
        <v>4000</v>
      </c>
      <c r="C7" s="6">
        <f t="shared" ref="C7:E7" si="0">C5*C6</f>
        <v>3450</v>
      </c>
      <c r="D7" s="6">
        <f t="shared" si="0"/>
        <v>4600</v>
      </c>
      <c r="E7" s="6">
        <f t="shared" si="0"/>
        <v>4050</v>
      </c>
      <c r="F7" s="7">
        <f>SUM(B7:E7)</f>
        <v>16100</v>
      </c>
    </row>
    <row r="8" spans="1:6" ht="16.5" thickBot="1" x14ac:dyDescent="0.3">
      <c r="A8" s="2" t="s">
        <v>47</v>
      </c>
      <c r="B8" s="6">
        <v>5</v>
      </c>
      <c r="C8" s="6">
        <v>5</v>
      </c>
      <c r="D8" s="6">
        <v>5</v>
      </c>
      <c r="E8" s="6">
        <v>5</v>
      </c>
      <c r="F8" s="7"/>
    </row>
    <row r="9" spans="1:6" ht="16.5" thickBot="1" x14ac:dyDescent="0.3">
      <c r="A9" s="2" t="s">
        <v>48</v>
      </c>
      <c r="B9" s="6">
        <f>B7*B8</f>
        <v>20000</v>
      </c>
      <c r="C9" s="6">
        <f t="shared" ref="C9:E9" si="1">C7*C8</f>
        <v>17250</v>
      </c>
      <c r="D9" s="6">
        <f t="shared" si="1"/>
        <v>23000</v>
      </c>
      <c r="E9" s="6">
        <f t="shared" si="1"/>
        <v>20250</v>
      </c>
      <c r="F9" s="7">
        <f t="shared" ref="F9:F10" si="2">SUM(B9:E9)</f>
        <v>80500</v>
      </c>
    </row>
    <row r="10" spans="1:6" ht="16.5" thickBot="1" x14ac:dyDescent="0.3">
      <c r="A10" s="2" t="s">
        <v>49</v>
      </c>
      <c r="B10" s="6">
        <f>B9</f>
        <v>20000</v>
      </c>
      <c r="C10" s="6">
        <f>C9</f>
        <v>17250</v>
      </c>
      <c r="D10" s="6">
        <f t="shared" ref="D10:E10" si="3">D9</f>
        <v>23000</v>
      </c>
      <c r="E10" s="6">
        <f t="shared" si="3"/>
        <v>20250</v>
      </c>
      <c r="F10" s="7">
        <f t="shared" si="2"/>
        <v>80500</v>
      </c>
    </row>
  </sheetData>
  <mergeCells count="3">
    <mergeCell ref="A3:A4"/>
    <mergeCell ref="B3:E3"/>
    <mergeCell ref="F3:F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workbookViewId="0">
      <selection activeCell="A14" sqref="A14"/>
    </sheetView>
  </sheetViews>
  <sheetFormatPr defaultRowHeight="15" x14ac:dyDescent="0.25"/>
  <cols>
    <col min="1" max="1" width="51" customWidth="1"/>
    <col min="2" max="5" width="11.28515625" bestFit="1" customWidth="1"/>
    <col min="6" max="6" width="12.42578125" bestFit="1" customWidth="1"/>
  </cols>
  <sheetData>
    <row r="1" spans="1:6" ht="15.75" x14ac:dyDescent="0.25">
      <c r="A1" s="15" t="s">
        <v>59</v>
      </c>
    </row>
    <row r="2" spans="1:6" ht="15.75" thickBot="1" x14ac:dyDescent="0.3"/>
    <row r="3" spans="1:6" ht="16.5" thickBot="1" x14ac:dyDescent="0.3">
      <c r="A3" s="99" t="s">
        <v>14</v>
      </c>
      <c r="B3" s="101" t="s">
        <v>15</v>
      </c>
      <c r="C3" s="102"/>
      <c r="D3" s="102"/>
      <c r="E3" s="103"/>
      <c r="F3" s="99" t="s">
        <v>16</v>
      </c>
    </row>
    <row r="4" spans="1:6" ht="16.5" thickBot="1" x14ac:dyDescent="0.3">
      <c r="A4" s="100"/>
      <c r="B4" s="1">
        <v>1</v>
      </c>
      <c r="C4" s="1">
        <v>2</v>
      </c>
      <c r="D4" s="1">
        <v>3</v>
      </c>
      <c r="E4" s="1">
        <v>4</v>
      </c>
      <c r="F4" s="100"/>
    </row>
    <row r="5" spans="1:6" ht="32.25" thickBot="1" x14ac:dyDescent="0.3">
      <c r="A5" s="2" t="s">
        <v>51</v>
      </c>
      <c r="B5" s="6">
        <f>'ЗП прям'!B7</f>
        <v>4000</v>
      </c>
      <c r="C5" s="6">
        <f>'ЗП прям'!C7</f>
        <v>3450</v>
      </c>
      <c r="D5" s="6">
        <f>'ЗП прям'!D7</f>
        <v>4600</v>
      </c>
      <c r="E5" s="6">
        <f>'ЗП прям'!E7</f>
        <v>4050</v>
      </c>
      <c r="F5" s="7">
        <f>SUM(B5:E5)</f>
        <v>16100</v>
      </c>
    </row>
    <row r="6" spans="1:6" ht="16.5" thickBot="1" x14ac:dyDescent="0.3">
      <c r="A6" s="2" t="s">
        <v>52</v>
      </c>
      <c r="B6" s="6">
        <v>2</v>
      </c>
      <c r="C6" s="6">
        <v>2</v>
      </c>
      <c r="D6" s="6">
        <v>2</v>
      </c>
      <c r="E6" s="6">
        <v>2</v>
      </c>
      <c r="F6" s="7"/>
    </row>
    <row r="7" spans="1:6" s="68" customFormat="1" ht="16.5" thickBot="1" x14ac:dyDescent="0.3">
      <c r="A7" s="65" t="s">
        <v>53</v>
      </c>
      <c r="B7" s="70">
        <f>B5*B6</f>
        <v>8000</v>
      </c>
      <c r="C7" s="70">
        <f>C5*C6</f>
        <v>6900</v>
      </c>
      <c r="D7" s="70">
        <f>D5*D6</f>
        <v>9200</v>
      </c>
      <c r="E7" s="70">
        <f>E5*E6</f>
        <v>8100</v>
      </c>
      <c r="F7" s="67">
        <f t="shared" ref="F7:F10" si="0">SUM(B7:E7)</f>
        <v>32200</v>
      </c>
    </row>
    <row r="8" spans="1:6" s="68" customFormat="1" ht="16.5" thickBot="1" x14ac:dyDescent="0.3">
      <c r="A8" s="65" t="s">
        <v>54</v>
      </c>
      <c r="B8" s="70">
        <v>6000</v>
      </c>
      <c r="C8" s="70">
        <v>6000</v>
      </c>
      <c r="D8" s="70">
        <v>6000</v>
      </c>
      <c r="E8" s="70">
        <v>6000</v>
      </c>
      <c r="F8" s="67">
        <f t="shared" si="0"/>
        <v>24000</v>
      </c>
    </row>
    <row r="9" spans="1:6" ht="16.5" thickBot="1" x14ac:dyDescent="0.3">
      <c r="A9" s="2" t="s">
        <v>55</v>
      </c>
      <c r="B9" s="6">
        <f>SUM(B7:B8)</f>
        <v>14000</v>
      </c>
      <c r="C9" s="6">
        <f t="shared" ref="C9:E9" si="1">SUM(C7:C8)</f>
        <v>12900</v>
      </c>
      <c r="D9" s="6">
        <f t="shared" si="1"/>
        <v>15200</v>
      </c>
      <c r="E9" s="6">
        <f t="shared" si="1"/>
        <v>14100</v>
      </c>
      <c r="F9" s="7">
        <f>SUM(B9:E9)</f>
        <v>56200</v>
      </c>
    </row>
    <row r="10" spans="1:6" ht="16.5" thickBot="1" x14ac:dyDescent="0.3">
      <c r="A10" s="2" t="s">
        <v>56</v>
      </c>
      <c r="B10" s="6">
        <v>3250</v>
      </c>
      <c r="C10" s="6">
        <v>3250</v>
      </c>
      <c r="D10" s="6">
        <v>3250</v>
      </c>
      <c r="E10" s="6">
        <v>3250</v>
      </c>
      <c r="F10" s="7">
        <f t="shared" si="0"/>
        <v>13000</v>
      </c>
    </row>
    <row r="11" spans="1:6" ht="16.5" thickBot="1" x14ac:dyDescent="0.3">
      <c r="A11" s="2" t="s">
        <v>57</v>
      </c>
      <c r="B11" s="6">
        <f>B10+B9</f>
        <v>17250</v>
      </c>
      <c r="C11" s="6">
        <f t="shared" ref="C11:E11" si="2">C10+C9</f>
        <v>16150</v>
      </c>
      <c r="D11" s="6">
        <f t="shared" si="2"/>
        <v>18450</v>
      </c>
      <c r="E11" s="6">
        <f t="shared" si="2"/>
        <v>17350</v>
      </c>
      <c r="F11" s="7">
        <f>SUM(B11:E11)</f>
        <v>69200</v>
      </c>
    </row>
    <row r="12" spans="1:6" ht="16.5" thickBot="1" x14ac:dyDescent="0.3">
      <c r="A12" s="2" t="s">
        <v>58</v>
      </c>
      <c r="B12" s="6">
        <f>B9</f>
        <v>14000</v>
      </c>
      <c r="C12" s="6">
        <f t="shared" ref="C12:E12" si="3">C9</f>
        <v>12900</v>
      </c>
      <c r="D12" s="6">
        <f>D9</f>
        <v>15200</v>
      </c>
      <c r="E12" s="6">
        <f t="shared" si="3"/>
        <v>14100</v>
      </c>
      <c r="F12" s="7">
        <f>SUM(B12:E12)</f>
        <v>56200</v>
      </c>
    </row>
  </sheetData>
  <mergeCells count="3">
    <mergeCell ref="A3:A4"/>
    <mergeCell ref="B3:E3"/>
    <mergeCell ref="F3:F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workbookViewId="0">
      <selection activeCell="A6" sqref="A6"/>
    </sheetView>
  </sheetViews>
  <sheetFormatPr defaultRowHeight="15" x14ac:dyDescent="0.25"/>
  <cols>
    <col min="1" max="1" width="36.42578125" customWidth="1"/>
    <col min="2" max="2" width="12" customWidth="1"/>
    <col min="3" max="3" width="11.28515625" customWidth="1"/>
    <col min="4" max="4" width="11.85546875" customWidth="1"/>
  </cols>
  <sheetData>
    <row r="1" spans="1:4" ht="15.75" x14ac:dyDescent="0.25">
      <c r="A1" s="19" t="s">
        <v>67</v>
      </c>
    </row>
    <row r="2" spans="1:4" ht="15.75" thickBot="1" x14ac:dyDescent="0.3"/>
    <row r="3" spans="1:4" ht="32.25" thickBot="1" x14ac:dyDescent="0.3">
      <c r="A3" s="4" t="s">
        <v>60</v>
      </c>
      <c r="B3" s="4" t="s">
        <v>61</v>
      </c>
      <c r="C3" s="4" t="s">
        <v>62</v>
      </c>
      <c r="D3" s="5" t="s">
        <v>8</v>
      </c>
    </row>
    <row r="4" spans="1:4" ht="16.5" thickBot="1" x14ac:dyDescent="0.3">
      <c r="A4" s="18" t="s">
        <v>63</v>
      </c>
      <c r="B4" s="1">
        <f>'Мат затраты'!B11</f>
        <v>2</v>
      </c>
      <c r="C4" s="1">
        <f>'Мат затраты'!B6</f>
        <v>3</v>
      </c>
      <c r="D4" s="3">
        <f>C4*B4</f>
        <v>6</v>
      </c>
    </row>
    <row r="5" spans="1:4" ht="16.5" thickBot="1" x14ac:dyDescent="0.3">
      <c r="A5" s="18" t="s">
        <v>64</v>
      </c>
      <c r="B5" s="1">
        <f>'ЗП прям'!B8</f>
        <v>5</v>
      </c>
      <c r="C5" s="1">
        <f>'ЗП прям'!B6</f>
        <v>5</v>
      </c>
      <c r="D5" s="3">
        <f>C5*B5</f>
        <v>25</v>
      </c>
    </row>
    <row r="6" spans="1:4" ht="16.5" thickBot="1" x14ac:dyDescent="0.3">
      <c r="A6" s="18" t="s">
        <v>65</v>
      </c>
      <c r="B6" s="1">
        <v>2</v>
      </c>
      <c r="C6" s="1">
        <v>5</v>
      </c>
      <c r="D6" s="3">
        <f>C6*B6</f>
        <v>10</v>
      </c>
    </row>
    <row r="7" spans="1:4" ht="16.5" thickBot="1" x14ac:dyDescent="0.3">
      <c r="A7" s="18" t="s">
        <v>66</v>
      </c>
      <c r="B7" s="1"/>
      <c r="C7" s="1"/>
      <c r="D7" s="3">
        <f>SUM(D4:D6)</f>
        <v>41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workbookViewId="0">
      <selection activeCell="K30" sqref="K30"/>
    </sheetView>
  </sheetViews>
  <sheetFormatPr defaultRowHeight="15" x14ac:dyDescent="0.25"/>
  <cols>
    <col min="1" max="1" width="29.85546875" customWidth="1"/>
    <col min="2" max="3" width="10" customWidth="1"/>
    <col min="4" max="4" width="10.28515625" customWidth="1"/>
    <col min="5" max="5" width="10.85546875" customWidth="1"/>
  </cols>
  <sheetData>
    <row r="1" spans="1:6" ht="15.75" x14ac:dyDescent="0.25">
      <c r="A1" s="19" t="s">
        <v>74</v>
      </c>
    </row>
    <row r="2" spans="1:6" ht="15.75" thickBot="1" x14ac:dyDescent="0.3"/>
    <row r="3" spans="1:6" ht="16.5" customHeight="1" thickBot="1" x14ac:dyDescent="0.3">
      <c r="A3" s="105" t="s">
        <v>60</v>
      </c>
      <c r="B3" s="107" t="s">
        <v>15</v>
      </c>
      <c r="C3" s="108"/>
      <c r="D3" s="108"/>
      <c r="E3" s="109"/>
      <c r="F3" s="105" t="s">
        <v>16</v>
      </c>
    </row>
    <row r="4" spans="1:6" ht="16.5" thickBot="1" x14ac:dyDescent="0.3">
      <c r="A4" s="106"/>
      <c r="B4" s="16">
        <v>1</v>
      </c>
      <c r="C4" s="16">
        <v>2</v>
      </c>
      <c r="D4" s="16">
        <v>3</v>
      </c>
      <c r="E4" s="16">
        <v>4</v>
      </c>
      <c r="F4" s="106"/>
    </row>
    <row r="5" spans="1:6" ht="16.5" thickBot="1" x14ac:dyDescent="0.3">
      <c r="A5" s="2" t="s">
        <v>68</v>
      </c>
      <c r="B5" s="1">
        <f>ГП!B6</f>
        <v>80</v>
      </c>
      <c r="C5" s="1">
        <f>ГП!C6</f>
        <v>70</v>
      </c>
      <c r="D5" s="1">
        <f>ГП!D6</f>
        <v>90</v>
      </c>
      <c r="E5" s="1">
        <f>ГП!E6</f>
        <v>100</v>
      </c>
      <c r="F5" s="3"/>
    </row>
    <row r="6" spans="1:6" ht="16.5" thickBot="1" x14ac:dyDescent="0.3">
      <c r="A6" s="2" t="s">
        <v>69</v>
      </c>
      <c r="B6" s="1">
        <f>'Уд сс'!D7</f>
        <v>41</v>
      </c>
      <c r="C6" s="1">
        <f>B6</f>
        <v>41</v>
      </c>
      <c r="D6" s="1">
        <f t="shared" ref="D6:E6" si="0">C6</f>
        <v>41</v>
      </c>
      <c r="E6" s="1">
        <f t="shared" si="0"/>
        <v>41</v>
      </c>
      <c r="F6" s="3"/>
    </row>
    <row r="7" spans="1:6" ht="16.5" thickBot="1" x14ac:dyDescent="0.3">
      <c r="A7" s="2" t="s">
        <v>70</v>
      </c>
      <c r="B7" s="6">
        <f>B5*B6</f>
        <v>3280</v>
      </c>
      <c r="C7" s="6">
        <f>C5*C6</f>
        <v>2870</v>
      </c>
      <c r="D7" s="6">
        <f>D5*D6</f>
        <v>3690</v>
      </c>
      <c r="E7" s="6">
        <f>E5*E6</f>
        <v>4100</v>
      </c>
      <c r="F7" s="3"/>
    </row>
    <row r="8" spans="1:6" ht="16.5" thickBot="1" x14ac:dyDescent="0.3">
      <c r="A8" s="2" t="s">
        <v>71</v>
      </c>
      <c r="B8" s="1">
        <f>'Мат затраты'!B8</f>
        <v>207</v>
      </c>
      <c r="C8" s="1">
        <f>'Мат затраты'!C8</f>
        <v>276</v>
      </c>
      <c r="D8" s="1">
        <f>'Мат затраты'!D8</f>
        <v>243</v>
      </c>
      <c r="E8" s="1">
        <f>'Мат затраты'!E8</f>
        <v>250</v>
      </c>
      <c r="F8" s="3"/>
    </row>
    <row r="9" spans="1:6" ht="32.25" thickBot="1" x14ac:dyDescent="0.3">
      <c r="A9" s="2" t="s">
        <v>72</v>
      </c>
      <c r="B9" s="1">
        <f>'Мат затраты'!B11</f>
        <v>2</v>
      </c>
      <c r="C9" s="1">
        <f>'Мат затраты'!C11</f>
        <v>2</v>
      </c>
      <c r="D9" s="1">
        <f>'Мат затраты'!D11</f>
        <v>2</v>
      </c>
      <c r="E9" s="1">
        <f>'Мат затраты'!E11</f>
        <v>2</v>
      </c>
      <c r="F9" s="3"/>
    </row>
    <row r="10" spans="1:6" ht="32.25" thickBot="1" x14ac:dyDescent="0.3">
      <c r="A10" s="2" t="s">
        <v>73</v>
      </c>
      <c r="B10" s="1">
        <f>B8*B9</f>
        <v>414</v>
      </c>
      <c r="C10" s="1">
        <f t="shared" ref="C10:E10" si="1">C8*C9</f>
        <v>552</v>
      </c>
      <c r="D10" s="1">
        <f t="shared" si="1"/>
        <v>486</v>
      </c>
      <c r="E10" s="1">
        <f t="shared" si="1"/>
        <v>500</v>
      </c>
      <c r="F10" s="3"/>
    </row>
  </sheetData>
  <mergeCells count="3">
    <mergeCell ref="A3:A4"/>
    <mergeCell ref="B3:E3"/>
    <mergeCell ref="F3:F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14</vt:i4>
      </vt:variant>
    </vt:vector>
  </HeadingPairs>
  <TitlesOfParts>
    <vt:vector size="14" baseType="lpstr">
      <vt:lpstr>Продажи</vt:lpstr>
      <vt:lpstr>Поступл</vt:lpstr>
      <vt:lpstr>ГП</vt:lpstr>
      <vt:lpstr>Мат затраты</vt:lpstr>
      <vt:lpstr>Оплата мат</vt:lpstr>
      <vt:lpstr>ЗП прям</vt:lpstr>
      <vt:lpstr>Накл</vt:lpstr>
      <vt:lpstr>Уд сс</vt:lpstr>
      <vt:lpstr>Пр запас</vt:lpstr>
      <vt:lpstr>Ком расх</vt:lpstr>
      <vt:lpstr>Адм</vt:lpstr>
      <vt:lpstr>БДР</vt:lpstr>
      <vt:lpstr>БДДС</vt:lpstr>
      <vt:lpstr>Баланс</vt:lpstr>
    </vt:vector>
  </TitlesOfParts>
  <Company>wwwww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Тозик Виктория</dc:creator>
  <cp:lastModifiedBy>Тозик Виктория</cp:lastModifiedBy>
  <dcterms:created xsi:type="dcterms:W3CDTF">2015-12-01T06:18:45Z</dcterms:created>
  <dcterms:modified xsi:type="dcterms:W3CDTF">2016-07-04T08:50:20Z</dcterms:modified>
</cp:coreProperties>
</file>